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codeName="ThisWorkbook"/>
  <mc:AlternateContent xmlns:mc="http://schemas.openxmlformats.org/markup-compatibility/2006">
    <mc:Choice Requires="x15">
      <x15ac:absPath xmlns:x15ac="http://schemas.microsoft.com/office/spreadsheetml/2010/11/ac" url="P:\REGIONALISER\IDF\3 - FEPEM\CONVENTIONS REGIONALES\75 - MARCHE VILLE DE PARIS\MVP\Paris.fr\2021\Octobre 2021\Simulateurs\"/>
    </mc:Choice>
  </mc:AlternateContent>
  <xr:revisionPtr revIDLastSave="0" documentId="13_ncr:1_{5F8099F8-33C8-4922-8AA7-C10FF1FEB951}" xr6:coauthVersionLast="47" xr6:coauthVersionMax="47" xr10:uidLastSave="{00000000-0000-0000-0000-000000000000}"/>
  <bookViews>
    <workbookView showHorizontalScroll="0" xWindow="-120" yWindow="-120" windowWidth="20730" windowHeight="11160" tabRatio="605" firstSheet="2" activeTab="2" xr2:uid="{00000000-000D-0000-FFFF-FFFF00000000}"/>
  </bookViews>
  <sheets>
    <sheet name="Feuil2" sheetId="1" state="hidden" r:id="rId1"/>
    <sheet name="1" sheetId="3" state="hidden" r:id="rId2"/>
    <sheet name="SIMULATEUR FOYER MONOPARENTAL" sheetId="8" r:id="rId3"/>
    <sheet name="Feuil3" sheetId="9" state="hidden" r:id="rId4"/>
    <sheet name=" BS GED" sheetId="10" state="hidden" r:id="rId5"/>
    <sheet name="BS AM" sheetId="14" state="hidden" r:id="rId6"/>
    <sheet name="Feuil1" sheetId="15" state="hidden" r:id="rId7"/>
  </sheet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2" i="1" l="1"/>
  <c r="H11" i="1"/>
  <c r="H10" i="1"/>
  <c r="G12" i="1"/>
  <c r="G11" i="1"/>
  <c r="G10" i="1"/>
  <c r="F12" i="1"/>
  <c r="F11" i="1"/>
  <c r="E12" i="1"/>
  <c r="E11" i="1"/>
  <c r="F10" i="1"/>
  <c r="E10" i="1"/>
  <c r="C1" i="14"/>
  <c r="R13" i="14"/>
  <c r="G18" i="8"/>
  <c r="D1" i="14"/>
  <c r="C1" i="10"/>
  <c r="D11" i="10" s="1"/>
  <c r="H11" i="10" s="1"/>
  <c r="D13" i="14" l="1"/>
  <c r="H13" i="14" s="1"/>
  <c r="D18" i="8" l="1"/>
  <c r="E26" i="10" l="1"/>
  <c r="G25" i="10"/>
  <c r="E25" i="10"/>
  <c r="G24" i="10"/>
  <c r="Q26" i="14"/>
  <c r="O26" i="14"/>
  <c r="G26" i="14"/>
  <c r="E26" i="14"/>
  <c r="Q25" i="14"/>
  <c r="O25" i="14"/>
  <c r="G25" i="14"/>
  <c r="E25" i="14"/>
  <c r="H18" i="8"/>
  <c r="I5" i="9" s="1"/>
  <c r="B1" i="14"/>
  <c r="D11" i="14" s="1"/>
  <c r="B1" i="10"/>
  <c r="J15" i="8"/>
  <c r="K28" i="9" s="1"/>
  <c r="E30" i="3"/>
  <c r="E18" i="3"/>
  <c r="E19" i="3" s="1"/>
  <c r="K31" i="9"/>
  <c r="K30" i="9"/>
  <c r="K29" i="9"/>
  <c r="K15" i="3"/>
  <c r="E34" i="3"/>
  <c r="E35" i="3" s="1"/>
  <c r="N21" i="3"/>
  <c r="N22" i="3"/>
  <c r="I38" i="3"/>
  <c r="I37" i="3"/>
  <c r="F73" i="3"/>
  <c r="E73" i="3"/>
  <c r="H20" i="3"/>
  <c r="F17" i="3"/>
  <c r="F16" i="3"/>
  <c r="E4" i="3"/>
  <c r="H53" i="3" s="1"/>
  <c r="F14" i="3"/>
  <c r="E7" i="3"/>
  <c r="E8" i="3"/>
  <c r="E9" i="3"/>
  <c r="I76" i="3" s="1"/>
  <c r="E10" i="3"/>
  <c r="F65" i="3" s="1"/>
  <c r="E6" i="3"/>
  <c r="E5" i="3"/>
  <c r="E3" i="3"/>
  <c r="F60" i="3" s="1"/>
  <c r="I20" i="3"/>
  <c r="E34" i="9"/>
  <c r="F34" i="9"/>
  <c r="H34" i="9"/>
  <c r="I34" i="9"/>
  <c r="K34" i="9"/>
  <c r="E20" i="9"/>
  <c r="F20" i="9"/>
  <c r="F21" i="9"/>
  <c r="F22" i="9"/>
  <c r="E21" i="9"/>
  <c r="E22" i="9"/>
  <c r="E9" i="9"/>
  <c r="F9" i="9"/>
  <c r="H9" i="9"/>
  <c r="I9" i="9"/>
  <c r="E10" i="9"/>
  <c r="F10" i="9"/>
  <c r="H10" i="9"/>
  <c r="I10" i="9"/>
  <c r="E11" i="9"/>
  <c r="F11" i="9"/>
  <c r="H11" i="9"/>
  <c r="I11" i="9"/>
  <c r="E12" i="9"/>
  <c r="F12" i="9"/>
  <c r="H12" i="9"/>
  <c r="I12" i="9"/>
  <c r="E13" i="9"/>
  <c r="F13" i="9"/>
  <c r="H13" i="9"/>
  <c r="I13" i="9"/>
  <c r="E14" i="9"/>
  <c r="F14" i="9"/>
  <c r="H14" i="9"/>
  <c r="I14" i="9"/>
  <c r="E15" i="9"/>
  <c r="F15" i="9"/>
  <c r="H15" i="9"/>
  <c r="I15" i="9"/>
  <c r="E16" i="9"/>
  <c r="F16" i="9"/>
  <c r="H16" i="9"/>
  <c r="I16" i="9"/>
  <c r="E18" i="8"/>
  <c r="I15" i="3"/>
  <c r="I25" i="3" s="1"/>
  <c r="H15" i="3"/>
  <c r="H14" i="3"/>
  <c r="J81" i="3"/>
  <c r="I6" i="9"/>
  <c r="I2" i="9"/>
  <c r="H2" i="9"/>
  <c r="E76" i="3"/>
  <c r="E26" i="9"/>
  <c r="F26" i="9"/>
  <c r="I55" i="3" l="1"/>
  <c r="N23" i="3"/>
  <c r="F76" i="3"/>
  <c r="K76" i="3"/>
  <c r="H76" i="3"/>
  <c r="H49" i="3"/>
  <c r="E54" i="3"/>
  <c r="G27" i="14"/>
  <c r="G28" i="14" s="1"/>
  <c r="Q27" i="14"/>
  <c r="Q28" i="14" s="1"/>
  <c r="O28" i="14"/>
  <c r="E28" i="14"/>
  <c r="E55" i="3"/>
  <c r="K69" i="3"/>
  <c r="F17" i="9"/>
  <c r="E52" i="8" s="1"/>
  <c r="I21" i="3"/>
  <c r="I19" i="3"/>
  <c r="I24" i="3" s="1"/>
  <c r="F23" i="9"/>
  <c r="F25" i="9" s="1"/>
  <c r="H55" i="3"/>
  <c r="F51" i="3"/>
  <c r="H50" i="3"/>
  <c r="I49" i="3"/>
  <c r="E50" i="3"/>
  <c r="F59" i="3"/>
  <c r="E51" i="3"/>
  <c r="E61" i="3"/>
  <c r="F53" i="3"/>
  <c r="E48" i="3"/>
  <c r="F55" i="3"/>
  <c r="E52" i="3"/>
  <c r="H54" i="3"/>
  <c r="K70" i="3"/>
  <c r="L1" i="14"/>
  <c r="N12" i="14" s="1"/>
  <c r="I7" i="9"/>
  <c r="F19" i="3"/>
  <c r="F49" i="3"/>
  <c r="H51" i="3"/>
  <c r="K68" i="3"/>
  <c r="I52" i="3"/>
  <c r="F50" i="3"/>
  <c r="I51" i="3"/>
  <c r="F54" i="3"/>
  <c r="H52" i="3"/>
  <c r="H25" i="3"/>
  <c r="F66" i="3"/>
  <c r="I48" i="3"/>
  <c r="I54" i="3"/>
  <c r="F52" i="3"/>
  <c r="I53" i="3"/>
  <c r="F61" i="3"/>
  <c r="F62" i="3" s="1"/>
  <c r="F64" i="3" s="1"/>
  <c r="E49" i="3"/>
  <c r="I50" i="3"/>
  <c r="E53" i="3"/>
  <c r="D15" i="14"/>
  <c r="H15" i="14" s="1"/>
  <c r="D6" i="14"/>
  <c r="H6" i="14" s="1"/>
  <c r="D20" i="14"/>
  <c r="F20" i="14" s="1"/>
  <c r="D8" i="14"/>
  <c r="H8" i="14" s="1"/>
  <c r="D16" i="14"/>
  <c r="H16" i="14" s="1"/>
  <c r="D17" i="14"/>
  <c r="F17" i="14" s="1"/>
  <c r="D19" i="14"/>
  <c r="F19" i="14" s="1"/>
  <c r="D12" i="14"/>
  <c r="F12" i="14" s="1"/>
  <c r="D21" i="14"/>
  <c r="F21" i="14" s="1"/>
  <c r="D18" i="14"/>
  <c r="H18" i="14" s="1"/>
  <c r="E27" i="10"/>
  <c r="B2" i="10" s="1"/>
  <c r="G26" i="10"/>
  <c r="G27" i="10" s="1"/>
  <c r="B3" i="10" s="1"/>
  <c r="D7" i="14"/>
  <c r="H7" i="14" s="1"/>
  <c r="D23" i="14"/>
  <c r="D10" i="14"/>
  <c r="H10" i="14" s="1"/>
  <c r="D9" i="14"/>
  <c r="D22" i="14"/>
  <c r="F22" i="14" s="1"/>
  <c r="D14" i="14"/>
  <c r="F14" i="14" s="1"/>
  <c r="E59" i="3"/>
  <c r="K67" i="3"/>
  <c r="E65" i="3"/>
  <c r="E66" i="3" s="1"/>
  <c r="F48" i="3"/>
  <c r="H19" i="3"/>
  <c r="H21" i="3"/>
  <c r="I26" i="3"/>
  <c r="E23" i="9"/>
  <c r="E25" i="9" s="1"/>
  <c r="H48" i="3"/>
  <c r="J57" i="8"/>
  <c r="J58" i="8" s="1"/>
  <c r="J60" i="8" s="1"/>
  <c r="K35" i="9" s="1"/>
  <c r="J66" i="8" s="1"/>
  <c r="I47" i="3"/>
  <c r="F11" i="14"/>
  <c r="H11" i="14"/>
  <c r="E26" i="3"/>
  <c r="E47" i="3" s="1"/>
  <c r="M36" i="3"/>
  <c r="E24" i="3"/>
  <c r="E28" i="3" s="1"/>
  <c r="E25" i="3"/>
  <c r="E60" i="3"/>
  <c r="D20" i="10"/>
  <c r="F20" i="10" s="1"/>
  <c r="D15" i="10"/>
  <c r="D21" i="10"/>
  <c r="D10" i="10"/>
  <c r="D12" i="10"/>
  <c r="D7" i="10"/>
  <c r="D16" i="10"/>
  <c r="D6" i="10"/>
  <c r="H6" i="10" s="1"/>
  <c r="D14" i="10"/>
  <c r="D5" i="10"/>
  <c r="H5" i="10" s="1"/>
  <c r="D8" i="10"/>
  <c r="D19" i="10"/>
  <c r="F19" i="10" s="1"/>
  <c r="D18" i="10"/>
  <c r="F18" i="10" s="1"/>
  <c r="D17" i="10"/>
  <c r="D9" i="10"/>
  <c r="D13" i="10"/>
  <c r="D4" i="10"/>
  <c r="H4" i="10" s="1"/>
  <c r="E39" i="3"/>
  <c r="H26" i="3" l="1"/>
  <c r="H47" i="3" s="1"/>
  <c r="D87" i="3" s="1"/>
  <c r="H17" i="14"/>
  <c r="I28" i="3"/>
  <c r="I31" i="3" s="1"/>
  <c r="I32" i="3" s="1"/>
  <c r="E58" i="8"/>
  <c r="E60" i="8" s="1"/>
  <c r="F35" i="9" s="1"/>
  <c r="N21" i="14"/>
  <c r="P21" i="14" s="1"/>
  <c r="N19" i="14"/>
  <c r="P19" i="14" s="1"/>
  <c r="K71" i="3"/>
  <c r="K72" i="3" s="1"/>
  <c r="K74" i="3" s="1"/>
  <c r="K77" i="3" s="1"/>
  <c r="K80" i="3" s="1"/>
  <c r="F56" i="3"/>
  <c r="F58" i="3" s="1"/>
  <c r="F72" i="3" s="1"/>
  <c r="F74" i="3" s="1"/>
  <c r="F77" i="3" s="1"/>
  <c r="E62" i="3"/>
  <c r="E64" i="3" s="1"/>
  <c r="F15" i="14"/>
  <c r="I57" i="3"/>
  <c r="I58" i="3" s="1"/>
  <c r="N15" i="14"/>
  <c r="N8" i="14"/>
  <c r="R8" i="14" s="1"/>
  <c r="N20" i="14"/>
  <c r="P20" i="14" s="1"/>
  <c r="N16" i="14"/>
  <c r="N18" i="14"/>
  <c r="N9" i="14"/>
  <c r="N7" i="14"/>
  <c r="R7" i="14" s="1"/>
  <c r="N14" i="14"/>
  <c r="N6" i="14"/>
  <c r="R6" i="14" s="1"/>
  <c r="N10" i="14"/>
  <c r="P10" i="14" s="1"/>
  <c r="N22" i="14"/>
  <c r="P22" i="14" s="1"/>
  <c r="N17" i="14"/>
  <c r="N11" i="14"/>
  <c r="P11" i="14" s="1"/>
  <c r="N23" i="14"/>
  <c r="R19" i="14"/>
  <c r="D86" i="3"/>
  <c r="F16" i="14"/>
  <c r="H12" i="14"/>
  <c r="F18" i="14"/>
  <c r="H19" i="14"/>
  <c r="P12" i="14"/>
  <c r="R12" i="14"/>
  <c r="F10" i="14"/>
  <c r="F9" i="14"/>
  <c r="H9" i="14"/>
  <c r="J67" i="8"/>
  <c r="J68" i="8" s="1"/>
  <c r="H24" i="3"/>
  <c r="H28" i="3"/>
  <c r="E31" i="3"/>
  <c r="E32" i="3" s="1"/>
  <c r="E58" i="3"/>
  <c r="N31" i="3"/>
  <c r="N32" i="3" s="1"/>
  <c r="M37" i="3"/>
  <c r="M38" i="3" s="1"/>
  <c r="F7" i="10"/>
  <c r="H7" i="10"/>
  <c r="H15" i="10"/>
  <c r="F15" i="10"/>
  <c r="H9" i="10"/>
  <c r="F9" i="10"/>
  <c r="F8" i="10"/>
  <c r="H8" i="10"/>
  <c r="H16" i="10"/>
  <c r="F16" i="10"/>
  <c r="H14" i="10"/>
  <c r="F14" i="10"/>
  <c r="F12" i="10"/>
  <c r="H12" i="10"/>
  <c r="H17" i="10"/>
  <c r="F17" i="10"/>
  <c r="H13" i="10"/>
  <c r="F13" i="10"/>
  <c r="F10" i="10"/>
  <c r="H10" i="10"/>
  <c r="R10" i="14" l="1"/>
  <c r="R11" i="14"/>
  <c r="K81" i="3"/>
  <c r="K82" i="3" s="1"/>
  <c r="I72" i="3"/>
  <c r="I74" i="3" s="1"/>
  <c r="I75" i="3" s="1"/>
  <c r="I77" i="3" s="1"/>
  <c r="I80" i="3" s="1"/>
  <c r="P15" i="14"/>
  <c r="R15" i="14"/>
  <c r="R9" i="14"/>
  <c r="P9" i="14"/>
  <c r="P18" i="14"/>
  <c r="R18" i="14"/>
  <c r="R17" i="14"/>
  <c r="P17" i="14"/>
  <c r="P14" i="14"/>
  <c r="R14" i="14"/>
  <c r="R16" i="14"/>
  <c r="P16" i="14"/>
  <c r="H23" i="14"/>
  <c r="H5" i="9" s="1"/>
  <c r="G27" i="8" s="1"/>
  <c r="H18" i="9" s="1"/>
  <c r="G52" i="8" s="1"/>
  <c r="F23" i="14"/>
  <c r="H6" i="9" s="1"/>
  <c r="H31" i="3"/>
  <c r="H32" i="3" s="1"/>
  <c r="H57" i="3"/>
  <c r="H58" i="3" s="1"/>
  <c r="F80" i="3"/>
  <c r="F81" i="3" s="1"/>
  <c r="F82" i="3" s="1"/>
  <c r="F78" i="3"/>
  <c r="F79" i="3" s="1"/>
  <c r="F36" i="9"/>
  <c r="F37" i="9" s="1"/>
  <c r="E66" i="8"/>
  <c r="E67" i="8" s="1"/>
  <c r="E68" i="8" s="1"/>
  <c r="H21" i="10"/>
  <c r="E5" i="9" s="1"/>
  <c r="D27" i="8" s="1"/>
  <c r="D52" i="8" s="1"/>
  <c r="F21" i="10"/>
  <c r="R23" i="14" l="1"/>
  <c r="L5" i="9" s="1"/>
  <c r="H27" i="8" s="1"/>
  <c r="H30" i="8" s="1"/>
  <c r="P23" i="14"/>
  <c r="L6" i="9" s="1"/>
  <c r="I81" i="3"/>
  <c r="I82" i="3" s="1"/>
  <c r="H72" i="3"/>
  <c r="H74" i="3" s="1"/>
  <c r="H75" i="3" s="1"/>
  <c r="H77" i="3" s="1"/>
  <c r="H80" i="3" s="1"/>
  <c r="H7" i="9"/>
  <c r="G30" i="8"/>
  <c r="D30" i="8"/>
  <c r="E6" i="9"/>
  <c r="E7" i="9"/>
  <c r="L7" i="9" l="1"/>
  <c r="H33" i="8" s="1"/>
  <c r="C72" i="8" s="1"/>
  <c r="I18" i="9"/>
  <c r="H52" i="8" s="1"/>
  <c r="H81" i="3"/>
  <c r="H82" i="3" s="1"/>
  <c r="G33" i="8"/>
  <c r="C73" i="8" s="1"/>
  <c r="G31" i="8"/>
  <c r="D33" i="8"/>
  <c r="D31" i="8"/>
  <c r="H31" i="8" l="1"/>
  <c r="H58" i="8" s="1"/>
  <c r="H60" i="8" s="1"/>
  <c r="I33" i="9" s="1"/>
  <c r="I35" i="9" s="1"/>
  <c r="H66" i="8" s="1"/>
  <c r="H67" i="8" s="1"/>
  <c r="H68" i="8" s="1"/>
  <c r="G58" i="8"/>
  <c r="G60" i="8" s="1"/>
  <c r="H33" i="9" s="1"/>
  <c r="H35" i="9" s="1"/>
  <c r="G66" i="8" s="1"/>
  <c r="G67" i="8" s="1"/>
  <c r="G68" i="8" s="1"/>
  <c r="E36" i="3"/>
  <c r="E37" i="3" s="1"/>
  <c r="F22" i="10" s="1"/>
  <c r="F23" i="10" s="1"/>
  <c r="D84" i="3" l="1"/>
  <c r="E72" i="3" s="1"/>
  <c r="E74" i="3" s="1"/>
  <c r="E77" i="3" s="1"/>
  <c r="E78" i="3" s="1"/>
  <c r="E79" i="3" s="1"/>
  <c r="C69" i="8"/>
  <c r="C44" i="8" s="1"/>
  <c r="E80" i="3" l="1"/>
  <c r="E81" i="3" s="1"/>
  <c r="E82" i="3" s="1"/>
  <c r="D58" i="8"/>
  <c r="D60" i="8" s="1"/>
  <c r="E35" i="9" s="1"/>
  <c r="D66" i="8" s="1"/>
  <c r="D67" i="8" s="1"/>
  <c r="D68" i="8" s="1"/>
  <c r="E36" i="9" l="1"/>
  <c r="E3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PARIS SERVICES FAMILLES</author>
  </authors>
  <commentList>
    <comment ref="E30" authorId="0" shapeId="0" xr:uid="{00000000-0006-0000-0000-000001000000}">
      <text>
        <r>
          <rPr>
            <sz val="10"/>
            <color indexed="81"/>
            <rFont val="Tahoma"/>
            <family val="2"/>
          </rPr>
          <t xml:space="preserve">Tarif sur 11 mois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PSF</author>
    <author>DH</author>
  </authors>
  <commentList>
    <comment ref="E7" authorId="0" shapeId="0" xr:uid="{00000000-0006-0000-0100-00000100000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F14" authorId="1" shapeId="0" xr:uid="{00000000-0006-0000-0100-000002000000}">
      <text>
        <r>
          <rPr>
            <b/>
            <sz val="8"/>
            <color indexed="81"/>
            <rFont val="Tahoma"/>
            <family val="2"/>
          </rPr>
          <t>Tarif horaire moyen d'une structure prestataire</t>
        </r>
        <r>
          <rPr>
            <sz val="8"/>
            <color indexed="81"/>
            <rFont val="Tahoma"/>
            <family val="2"/>
          </rPr>
          <t xml:space="preserve">
</t>
        </r>
      </text>
    </comment>
    <comment ref="H14" authorId="1" shapeId="0" xr:uid="{00000000-0006-0000-0100-000003000000}">
      <text>
        <r>
          <rPr>
            <b/>
            <sz val="8"/>
            <color indexed="81"/>
            <rFont val="Tahoma"/>
            <family val="2"/>
          </rPr>
          <t>Tarif journalier minimum pour 9 heures par jour. Voir avec le service social de la PMI (coordonnées dans les numéros utiles) les tarifs pratiqués dans votre arrondissemnt</t>
        </r>
        <r>
          <rPr>
            <sz val="8"/>
            <color indexed="81"/>
            <rFont val="Tahoma"/>
            <family val="2"/>
          </rPr>
          <t xml:space="preserve">
</t>
        </r>
      </text>
    </comment>
    <comment ref="I14" authorId="0" shapeId="0" xr:uid="{00000000-0006-0000-0100-000004000000}">
      <text>
        <r>
          <rPr>
            <b/>
            <sz val="8"/>
            <color indexed="81"/>
            <rFont val="Tahoma"/>
            <family val="2"/>
          </rPr>
          <t>Tarif maximum à appliquerafin d'obtenir le versement de la CAF : 47,65 euros</t>
        </r>
        <r>
          <rPr>
            <sz val="8"/>
            <color indexed="81"/>
            <rFont val="Tahoma"/>
            <family val="2"/>
          </rPr>
          <t xml:space="preserve">
</t>
        </r>
      </text>
    </comment>
    <comment ref="E16" authorId="1" shapeId="0" xr:uid="{00000000-0006-0000-0100-000005000000}">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E17" authorId="1" shapeId="0" xr:uid="{00000000-0006-0000-0100-000006000000}">
      <text>
        <r>
          <rPr>
            <b/>
            <sz val="8"/>
            <color indexed="81"/>
            <rFont val="Tahoma"/>
            <family val="2"/>
          </rPr>
          <t>Au maximum 8 heures par semaine soit 34,67 par mois</t>
        </r>
        <r>
          <rPr>
            <sz val="8"/>
            <color indexed="81"/>
            <rFont val="Tahoma"/>
            <family val="2"/>
          </rPr>
          <t xml:space="preserve">
</t>
        </r>
      </text>
    </comment>
    <comment ref="I20" authorId="1" shapeId="0" xr:uid="{00000000-0006-0000-0100-000007000000}">
      <text>
        <r>
          <rPr>
            <b/>
            <sz val="8"/>
            <color indexed="81"/>
            <rFont val="Tahoma"/>
            <family val="2"/>
          </rPr>
          <t xml:space="preserve">
_ {{Indemnité d'entretien}} : 
montant minimum journalier = 2,73 €. Est fixé en commun accord entre l'assistante maternelle et l'employeur. Sur Paris, elle est en moyenne d'un Smic par jour.</t>
        </r>
        <r>
          <rPr>
            <sz val="8"/>
            <color indexed="81"/>
            <rFont val="Tahoma"/>
            <family val="2"/>
          </rPr>
          <t xml:space="preserve">
</t>
        </r>
      </text>
    </comment>
    <comment ref="E24" authorId="1" shapeId="0" xr:uid="{00000000-0006-0000-0100-000008000000}">
      <text>
        <r>
          <rPr>
            <b/>
            <sz val="8"/>
            <color indexed="81"/>
            <rFont val="Tahoma"/>
            <family val="2"/>
          </rPr>
          <t xml:space="preserve"> Il peut y avoir une différence de plusieurs centimes avec les calculs de Pajemploi  qui effectue un calcul très compliqué en reconstituant la salaire brut à partir du net.</t>
        </r>
        <r>
          <rPr>
            <sz val="8"/>
            <color indexed="81"/>
            <rFont val="Tahoma"/>
            <family val="2"/>
          </rPr>
          <t xml:space="preserve">
</t>
        </r>
      </text>
    </comment>
    <comment ref="E30" authorId="1" shapeId="0" xr:uid="{00000000-0006-0000-0100-000009000000}">
      <text>
        <r>
          <rPr>
            <b/>
            <sz val="8"/>
            <color indexed="81"/>
            <rFont val="Tahoma"/>
            <family val="2"/>
          </rPr>
          <t xml:space="preserve">_ {{Frais de transport}}
L'employeur doit rembourser la moitié des titres d'abonnement de transport. Si la salariée travaille moins de 20 heures par semaine, le remboursement se fera au prorata.
- {Attention : en cas d'absence, les titres de transport doivent être remboursés intégralement dès lors qu'ils ont été utilisés une fois.} 
_ La carte orange  : Montants des coupons mensuels au 1er juillet 2011(calculés sur 11 mois)
- Zones 1-2 57,60 € 
- Zones 1-3 74,40  € 
- Zones 1-4 90,80 € 
- Zones 1-5 101,13 € 
</t>
        </r>
      </text>
    </comment>
    <comment ref="E73" authorId="1" shapeId="0" xr:uid="{00000000-0006-0000-0100-00000A000000}">
      <text>
        <r>
          <rPr>
            <b/>
            <sz val="8"/>
            <color indexed="81"/>
            <rFont val="Tahoma"/>
            <family val="2"/>
          </rPr>
          <t>frais mensuels</t>
        </r>
      </text>
    </comment>
    <comment ref="F73" authorId="1" shapeId="0" xr:uid="{00000000-0006-0000-0100-00000B000000}">
      <text>
        <r>
          <rPr>
            <b/>
            <sz val="8"/>
            <color indexed="81"/>
            <rFont val="Tahoma"/>
            <family val="2"/>
          </rPr>
          <t>adhésion annuelle</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PSF</author>
    <author>DH</author>
    <author xml:space="preserve">  Claire Richier</author>
  </authors>
  <commentList>
    <comment ref="D6" authorId="0" shapeId="0" xr:uid="{00000000-0006-0000-0200-00000100000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D12" authorId="1" shapeId="0" xr:uid="{00000000-0006-0000-0200-000002000000}">
      <text>
        <r>
          <rPr>
            <b/>
            <sz val="8"/>
            <color indexed="81"/>
            <rFont val="Tahoma"/>
            <family val="2"/>
          </rPr>
          <t xml:space="preserve">Salaire brut horaire minimum conventionnel échelle 3 : 10,60€
</t>
        </r>
        <r>
          <rPr>
            <sz val="8"/>
            <color indexed="81"/>
            <rFont val="Tahoma"/>
            <family val="2"/>
          </rPr>
          <t xml:space="preserve">
</t>
        </r>
      </text>
    </comment>
    <comment ref="E12" authorId="1" shapeId="0" xr:uid="{00000000-0006-0000-0200-000003000000}">
      <text>
        <r>
          <rPr>
            <b/>
            <sz val="8"/>
            <color indexed="81"/>
            <rFont val="Tahoma"/>
            <family val="2"/>
          </rPr>
          <t>Tarif horaire moyen d'une structure prestataire</t>
        </r>
        <r>
          <rPr>
            <sz val="8"/>
            <color indexed="81"/>
            <rFont val="Tahoma"/>
            <family val="2"/>
          </rPr>
          <t xml:space="preserve">
</t>
        </r>
      </text>
    </comment>
    <comment ref="G12" authorId="1" shapeId="0" xr:uid="{00000000-0006-0000-0200-000004000000}">
      <text>
        <r>
          <rPr>
            <b/>
            <sz val="8"/>
            <color indexed="81"/>
            <rFont val="Tahoma"/>
            <family val="2"/>
          </rPr>
          <t>Salaire horaire brut minimal : 2,94 €/h
Tarif journalier minimum pour 9 heures par jour : 26,46 €.
Voir avec le service social de la PMI (coordonnées dans les numéros utiles) les tarifs pratiqués dans votre arrondissement</t>
        </r>
      </text>
    </comment>
    <comment ref="H12" authorId="0" shapeId="0" xr:uid="{00000000-0006-0000-0200-000005000000}">
      <text>
        <r>
          <rPr>
            <b/>
            <sz val="8"/>
            <color indexed="81"/>
            <rFont val="Tahoma"/>
            <family val="2"/>
          </rPr>
          <t>Tarif maximum à appliquer pour obtenir le complément libre choix de mode de garde, l'allocation de la CAF : 52,40 euros</t>
        </r>
        <r>
          <rPr>
            <sz val="8"/>
            <color indexed="81"/>
            <rFont val="Tahoma"/>
            <family val="2"/>
          </rPr>
          <t xml:space="preserve">
</t>
        </r>
      </text>
    </comment>
    <comment ref="A14" authorId="2" shapeId="0" xr:uid="{00000000-0006-0000-0200-000006000000}">
      <text>
        <r>
          <rPr>
            <sz val="9"/>
            <color indexed="81"/>
            <rFont val="Tahoma"/>
            <family val="2"/>
          </rPr>
          <t>Y compris les heures de présence responsable reconverties d'un(e) garde d'enfants à domicile en garde simple
Arrondir au nombre entier immédiatement supérieur pour des raisons déclaratives au centre Pajemploi.</t>
        </r>
      </text>
    </comment>
    <comment ref="D14" authorId="1" shapeId="0" xr:uid="{00000000-0006-0000-0200-000007000000}">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G14" authorId="2" shapeId="0" xr:uid="{00000000-0006-0000-0200-000008000000}">
      <text>
        <r>
          <rPr>
            <sz val="9"/>
            <color indexed="81"/>
            <rFont val="Tahoma"/>
            <family val="2"/>
          </rPr>
          <t>Le nombre d'heures normales se calcule ainsi : nombre d'heures d'accueil par semaine (dans la limite de 45h ; au-delà, ce sont des heures majorées) x nombre de semaines d'accueil / 12</t>
        </r>
      </text>
    </comment>
    <comment ref="A15" authorId="2" shapeId="0" xr:uid="{00000000-0006-0000-0200-000009000000}">
      <text>
        <r>
          <rPr>
            <sz val="9"/>
            <color indexed="81"/>
            <rFont val="Tahoma"/>
            <family val="2"/>
          </rPr>
          <t xml:space="preserve">Arrondir au nombre entier immédiatement supérieur pour des raisons déclaratives au centre Pajemploi,
Majoration pour une garde d'enfant à domicile : 25 %
Majoration pour l'Ass.maternel(le)s : fait l'objet d'une négocitaion entre les parties
</t>
        </r>
      </text>
    </comment>
    <comment ref="D15" authorId="1" shapeId="0" xr:uid="{00000000-0006-0000-0200-00000A000000}">
      <text>
        <r>
          <rPr>
            <sz val="8"/>
            <color indexed="81"/>
            <rFont val="Tahoma"/>
            <family val="2"/>
          </rPr>
          <t xml:space="preserve">Au maximum 8 heures par semaine soit 35 heures par mois
</t>
        </r>
      </text>
    </comment>
    <comment ref="G17" authorId="2" shapeId="0" xr:uid="{00000000-0006-0000-0200-00000B000000}">
      <text>
        <r>
          <rPr>
            <sz val="9"/>
            <color indexed="81"/>
            <rFont val="Tahoma"/>
            <family val="2"/>
          </rPr>
          <t>Le taux de majoration est librement fixé entre les parties.</t>
        </r>
      </text>
    </comment>
    <comment ref="G19" authorId="2" shapeId="0" xr:uid="{00000000-0006-0000-0200-00000C000000}">
      <text>
        <r>
          <rPr>
            <sz val="9"/>
            <color indexed="81"/>
            <rFont val="Tahoma"/>
            <family val="2"/>
          </rPr>
          <t>au minimum 
 3,17 €/journée de 9 heures</t>
        </r>
      </text>
    </comment>
    <comment ref="D29" authorId="1" shapeId="0" xr:uid="{00000000-0006-0000-0200-00000D000000}">
      <text>
        <r>
          <rPr>
            <b/>
            <u/>
            <sz val="8"/>
            <color indexed="81"/>
            <rFont val="Tahoma"/>
            <family val="2"/>
          </rPr>
          <t>Frais de transport</t>
        </r>
        <r>
          <rPr>
            <b/>
            <sz val="8"/>
            <color indexed="81"/>
            <rFont val="Tahoma"/>
            <family val="2"/>
          </rPr>
          <t xml:space="preserve">
L'employeur doit rembourser la moitié des titres d'abonnement de transport. Si la salariée travaille moins de 17,5 heures par semaine, le remboursement se fera au prorata.
ATTENTION : en cas d'absence, les titres de transport doivent être remboursés intégralement dès lors qu'ils ont été utilisés une fois.
</t>
        </r>
        <r>
          <rPr>
            <b/>
            <u/>
            <sz val="8"/>
            <color indexed="81"/>
            <rFont val="Tahoma"/>
            <family val="2"/>
          </rPr>
          <t xml:space="preserve">INFORMATION </t>
        </r>
        <r>
          <rPr>
            <b/>
            <sz val="8"/>
            <color indexed="81"/>
            <rFont val="Tahoma"/>
            <family val="2"/>
          </rPr>
          <t xml:space="preserve">: la prise en charge du titre de transport est effectuée sur la base d'un remboursement du passe navigo mensuel calculé sur 11 mois. Pour de plus amples renseignements nous vous invitons à consulter le site de la RATP.
</t>
        </r>
      </text>
    </comment>
    <comment ref="G30" authorId="2" shapeId="0" xr:uid="{00000000-0006-0000-0200-00000E000000}">
      <text>
        <r>
          <rPr>
            <sz val="9"/>
            <color indexed="81"/>
            <rFont val="Tahoma"/>
            <family val="2"/>
          </rPr>
          <t>le montant mensuel de l'indemnité d'entretien (ajouté au salaire mensuel) est ici une estimation : l'indemité d'entretien est versée chaque mois en fonction du nombre réel de journées d'accueil</t>
        </r>
      </text>
    </comment>
    <comment ref="D59" authorId="1" shapeId="0" xr:uid="{00000000-0006-0000-0200-00000F000000}">
      <text>
        <r>
          <rPr>
            <b/>
            <sz val="8"/>
            <color indexed="81"/>
            <rFont val="Tahoma"/>
            <family val="2"/>
          </rPr>
          <t>Frais mensuels</t>
        </r>
      </text>
    </comment>
    <comment ref="E59" authorId="1" shapeId="0" xr:uid="{00000000-0006-0000-0200-000010000000}">
      <text>
        <r>
          <rPr>
            <b/>
            <sz val="8"/>
            <color indexed="81"/>
            <rFont val="Tahoma"/>
            <family val="2"/>
          </rPr>
          <t>Adhésion annuelle</t>
        </r>
        <r>
          <rPr>
            <sz val="8"/>
            <color indexed="81"/>
            <rFont val="Tahoma"/>
            <family val="2"/>
          </rPr>
          <t xml:space="preserve">
</t>
        </r>
      </text>
    </comment>
    <comment ref="G60" authorId="2" shapeId="0" xr:uid="{00000000-0006-0000-0200-000011000000}">
      <text>
        <r>
          <rPr>
            <sz val="9"/>
            <color indexed="81"/>
            <rFont val="Tahoma"/>
            <family val="2"/>
          </rPr>
          <t>Les indemnités d'entretien sont incluses dans les dépenses ouvrant droit à crédit d'impôt, dans la limite de 3,01€/journée d'accueil</t>
        </r>
      </text>
    </comment>
    <comment ref="H60" authorId="2" shapeId="0" xr:uid="{00000000-0006-0000-0200-000012000000}">
      <text>
        <r>
          <rPr>
            <sz val="9"/>
            <color indexed="81"/>
            <rFont val="Tahoma"/>
            <family val="2"/>
          </rPr>
          <t>Les indemnités d'entretien sont incluses dans les dépenses ouvrant droit à crédit d'impôt, dans la limite de 3,01€/journée d'accueil</t>
        </r>
      </text>
    </comment>
  </commentList>
</comments>
</file>

<file path=xl/sharedStrings.xml><?xml version="1.0" encoding="utf-8"?>
<sst xmlns="http://schemas.openxmlformats.org/spreadsheetml/2006/main" count="229" uniqueCount="160">
  <si>
    <t xml:space="preserve">Nombre d'heures effectives </t>
  </si>
  <si>
    <t>Nombre d'heures supplémentaires</t>
  </si>
  <si>
    <t>Salaire brut mensuel</t>
  </si>
  <si>
    <t>Cotisations salariales + CSG + CRDS</t>
  </si>
  <si>
    <t xml:space="preserve">Cotisations patronales </t>
  </si>
  <si>
    <t>Salaire net à verser</t>
  </si>
  <si>
    <t>PAJE</t>
  </si>
  <si>
    <t>Impôt sur le revenu</t>
  </si>
  <si>
    <t>Versement mensuel</t>
  </si>
  <si>
    <t>1 ENFANT</t>
  </si>
  <si>
    <t>2 ENFANTS</t>
  </si>
  <si>
    <t>3 ENFANTS</t>
  </si>
  <si>
    <t>Plus 50% ou 25% (garde partagée) du prix du titre de transport</t>
  </si>
  <si>
    <t>ASSISTANTE MATERNELLE</t>
  </si>
  <si>
    <t>Nbre de jours</t>
  </si>
  <si>
    <t>Salaire journalier maxi brut</t>
  </si>
  <si>
    <t>Taux horaire du SMIC</t>
  </si>
  <si>
    <t>Nombre de jours</t>
  </si>
  <si>
    <t>Coût mensuel de la crèche</t>
  </si>
  <si>
    <t>1 enfant</t>
  </si>
  <si>
    <t>2 enfants</t>
  </si>
  <si>
    <t xml:space="preserve">3 enfants </t>
  </si>
  <si>
    <t>4 enfants et plus</t>
  </si>
  <si>
    <t>Auxiliaire Parentale</t>
  </si>
  <si>
    <t xml:space="preserve">Plafond Paje / cotisations </t>
  </si>
  <si>
    <t>Total cotisations avant abattement</t>
  </si>
  <si>
    <t>Paje + 3 ans</t>
  </si>
  <si>
    <t>Paje - 3 ans</t>
  </si>
  <si>
    <t>Familiale                             % des revenus</t>
  </si>
  <si>
    <t>Plafond des dépenses dont on tient compte pour la réduction ou le crédit d'impôt pour 1 enfant</t>
  </si>
  <si>
    <t>Plafond des dépenses dont on tient compte pour la réduction ou le crédit d'impôt pour 2 enfants et +</t>
  </si>
  <si>
    <t>Réduction ou crédit d'impôt maxi</t>
  </si>
  <si>
    <t>Indemnité d'entretien et de repas</t>
  </si>
  <si>
    <t>Montant du crédit d'impôt</t>
  </si>
  <si>
    <t>Total dépenses annuelles</t>
  </si>
  <si>
    <t>&lt; 3 ans :</t>
  </si>
  <si>
    <t>&gt; 3 ans :</t>
  </si>
  <si>
    <t>Collective-des revenus avec abattement</t>
  </si>
  <si>
    <t>Paje - 3 ans Prestataire</t>
  </si>
  <si>
    <t>Tarif horaire par association prestataire</t>
  </si>
  <si>
    <t xml:space="preserve">Dépenses annuelles après réduction ou crédit d'impôt </t>
  </si>
  <si>
    <t xml:space="preserve">Salaire net à verser plus cotisations </t>
  </si>
  <si>
    <t xml:space="preserve">Dépenses effectives mensuelles </t>
  </si>
  <si>
    <r>
      <t>OU</t>
    </r>
    <r>
      <rPr>
        <sz val="8.5"/>
        <rFont val="Arial"/>
        <family val="2"/>
      </rPr>
      <t xml:space="preserve"> montant de la réduction d'impôt</t>
    </r>
  </si>
  <si>
    <t>Coût mensuel final</t>
  </si>
  <si>
    <t>Prime</t>
  </si>
  <si>
    <t xml:space="preserve">Impôt sur le revenu </t>
  </si>
  <si>
    <t>Structure prestataire</t>
  </si>
  <si>
    <t>Parents employeurs</t>
  </si>
  <si>
    <t>par enfant gardé</t>
  </si>
  <si>
    <t xml:space="preserve">Crèche collective </t>
  </si>
  <si>
    <t>répondre par oui ou non</t>
  </si>
  <si>
    <t>(1)</t>
  </si>
  <si>
    <t>(2)</t>
  </si>
  <si>
    <t>Salaire brut horaire (journalier pour  Ass. Maternelles)</t>
  </si>
  <si>
    <t>Tarif  minimum</t>
  </si>
  <si>
    <t>Tarif  maximum</t>
  </si>
  <si>
    <t>Informations personnelles à compléter</t>
  </si>
  <si>
    <t>Indemnités entretien journalières</t>
  </si>
  <si>
    <t>Allocation PAPADO versée</t>
  </si>
  <si>
    <t>Frais  de gestion facturés par une structure agréée</t>
  </si>
  <si>
    <t xml:space="preserve">               Les cases en vert sont modifiables</t>
  </si>
  <si>
    <t>oui</t>
  </si>
  <si>
    <t>Nbre d'enfants à charge (1)</t>
  </si>
  <si>
    <t>Age de l'enfant le plus jeune : moins de 3 ans (2)</t>
  </si>
  <si>
    <t>Garde partagée (2)</t>
  </si>
  <si>
    <t>Les deux parents ont une activité professionnelle (2)</t>
  </si>
  <si>
    <t>&gt;= 1</t>
  </si>
  <si>
    <t>Montant du crédit d'impôt ou de la réduction d'impôt</t>
  </si>
  <si>
    <r>
      <t xml:space="preserve">Assistante Maternelle - </t>
    </r>
    <r>
      <rPr>
        <b/>
        <sz val="8.5"/>
        <rFont val="Arial"/>
        <family val="2"/>
      </rPr>
      <t>par enfant gardé</t>
    </r>
  </si>
  <si>
    <t>Vous habitez Paris depuis plus de 3 ans (2)</t>
  </si>
  <si>
    <t>MAJ</t>
  </si>
  <si>
    <t>Prise en charge des cot.sociales à 50 % ou 100% (*)</t>
  </si>
  <si>
    <t xml:space="preserve">(*) Cot. sociales restant à votre charge : </t>
  </si>
  <si>
    <t>Les réductions sur les cotisations sociales ne s'appliquent que sur la part payée par l'employeur</t>
  </si>
  <si>
    <t>pour une auxiliaire parentale</t>
  </si>
  <si>
    <t xml:space="preserve">Cot. sociales restant à votre charge : </t>
  </si>
  <si>
    <t>pour une assistante maternelle Tarif Maximum 1ere colonne</t>
  </si>
  <si>
    <t>pour une assistante maternelle Tarif Minimum 2ème colonne</t>
  </si>
  <si>
    <t>Salaire net mensuel à déclarer à Pajemploi</t>
  </si>
  <si>
    <t>Revenu annuel imposable après abattement  (Ressources - CAF)</t>
  </si>
  <si>
    <t xml:space="preserve">Revenu annuel imposable avant abattement </t>
  </si>
  <si>
    <t>4 ENFANTS</t>
  </si>
  <si>
    <t xml:space="preserve">Ces informations vous sont fournies à titre indicatif et ne sauraient, en aucun cas, </t>
  </si>
  <si>
    <t>Revenu annuel imposable après abattement</t>
  </si>
  <si>
    <t xml:space="preserve">Total cotisations </t>
  </si>
  <si>
    <t xml:space="preserve">Prise en charge des cot.sociales à 50 % ou 100% </t>
  </si>
  <si>
    <t>(*) Montant de la déduction forfaitaire</t>
  </si>
  <si>
    <t xml:space="preserve">   -Cotisations sociales restant à votre charge (*)</t>
  </si>
  <si>
    <t>montant max réduction</t>
  </si>
  <si>
    <t>cot patronale maladie (50%)</t>
  </si>
  <si>
    <t>montant réduction cot</t>
  </si>
  <si>
    <r>
      <t>ARRONDI.SUP</t>
    </r>
    <r>
      <rPr>
        <sz val="9"/>
        <color indexed="63"/>
        <rFont val="Arial"/>
        <family val="2"/>
      </rPr>
      <t>(</t>
    </r>
    <r>
      <rPr>
        <b/>
        <sz val="9"/>
        <color indexed="63"/>
        <rFont val="Arial"/>
        <family val="2"/>
      </rPr>
      <t>nombre</t>
    </r>
    <r>
      <rPr>
        <sz val="9"/>
        <color indexed="63"/>
        <rFont val="Arial"/>
        <family val="2"/>
      </rPr>
      <t>;</t>
    </r>
    <r>
      <rPr>
        <b/>
        <sz val="9"/>
        <color indexed="63"/>
        <rFont val="Arial"/>
        <family val="2"/>
      </rPr>
      <t>no_chiffres</t>
    </r>
    <r>
      <rPr>
        <sz val="9"/>
        <color indexed="63"/>
        <rFont val="Arial"/>
        <family val="2"/>
      </rPr>
      <t>)</t>
    </r>
  </si>
  <si>
    <t>GARDE D'ENFANTS A DOMICILE</t>
  </si>
  <si>
    <t>(par enfant gardé)</t>
  </si>
  <si>
    <t>pour un(e) assistant(e) maternel(le) "Tarif Maximum"</t>
  </si>
  <si>
    <t xml:space="preserve">pour votre simulation du coût de l'emploi d'un(e) assistant(e) maternel(le) agréé(e) </t>
  </si>
  <si>
    <t xml:space="preserve">Salaire brut horaire  </t>
  </si>
  <si>
    <t>Nombre d'heures effectives mensuelles</t>
  </si>
  <si>
    <t>(3) Le calcul du nombre de jours d'accueil mensuel moyen en accueil collectif est effectué sans préjudice des sommes dues si la famille souhaite bénéficier du regroupement.
Des exonérations de paiement peuvent être pratiquées dans des cas particuliers et strictement définis, notamment en cas de fermeture de l'établissement.</t>
  </si>
  <si>
    <t>SALAIRE BRUT MENSUEL</t>
  </si>
  <si>
    <t>MONTANT NET A VERSER</t>
  </si>
  <si>
    <t>CRECHE COLLECTIVE</t>
  </si>
  <si>
    <r>
      <rPr>
        <b/>
        <sz val="8.5"/>
        <rFont val="Arial"/>
        <family val="2"/>
      </rPr>
      <t>GARDE D'ENFANTS A DOMICILE</t>
    </r>
    <r>
      <rPr>
        <sz val="8.5"/>
        <rFont val="Arial"/>
        <family val="2"/>
      </rPr>
      <t xml:space="preserve">
(par famillle)</t>
    </r>
  </si>
  <si>
    <r>
      <rPr>
        <b/>
        <sz val="8.5"/>
        <rFont val="Arial"/>
        <family val="2"/>
      </rPr>
      <t>ASSISTANT(E) MATERNEL(LE)</t>
    </r>
    <r>
      <rPr>
        <sz val="8.5"/>
        <rFont val="Arial"/>
        <family val="2"/>
      </rPr>
      <t xml:space="preserve">
(par enfant gardé)</t>
    </r>
  </si>
  <si>
    <r>
      <t>Plafond</t>
    </r>
    <r>
      <rPr>
        <sz val="9"/>
        <color indexed="10"/>
        <rFont val="Arial"/>
        <family val="2"/>
      </rPr>
      <t>*</t>
    </r>
  </si>
  <si>
    <r>
      <t>Plancher</t>
    </r>
    <r>
      <rPr>
        <sz val="9"/>
        <color indexed="10"/>
        <rFont val="Arial"/>
        <family val="2"/>
      </rPr>
      <t>*</t>
    </r>
  </si>
  <si>
    <r>
      <rPr>
        <b/>
        <i/>
        <sz val="9"/>
        <color indexed="10"/>
        <rFont val="Times New Roman"/>
        <family val="1"/>
      </rPr>
      <t xml:space="preserve">* </t>
    </r>
    <r>
      <rPr>
        <b/>
        <i/>
        <sz val="9"/>
        <rFont val="Times New Roman"/>
        <family val="1"/>
      </rPr>
      <t>tarifs plafond et plancher sont journaliers</t>
    </r>
  </si>
  <si>
    <t>engager notre responsabilité.</t>
  </si>
  <si>
    <t>Maj : 15/01/2014 - ne pas tenir compte de cette feuille.</t>
  </si>
  <si>
    <t>Nombre d'heures supplémentaires majorées 
Nombre de jours d'accueil mensuel moyen en accueil collectif (3)</t>
  </si>
  <si>
    <t>Nombre de jours d'accueil (mensuels pour l'Ass. maternel(le)s et par semaine en accueil collectif)</t>
  </si>
  <si>
    <t>Prime repas pour la garde à domicile. Taux de majoration des heures supp pour Ass. Maternel(le)s</t>
  </si>
  <si>
    <t>CSG (déductible) (1)</t>
  </si>
  <si>
    <t>CSG (non déductibles) (1)</t>
  </si>
  <si>
    <t>CRDS (non déductibles) (1)</t>
  </si>
  <si>
    <t>Maladie</t>
  </si>
  <si>
    <t>Vieillesse</t>
  </si>
  <si>
    <t>Retraite complémentaire</t>
  </si>
  <si>
    <t>Chômage</t>
  </si>
  <si>
    <t>Cot. AGFF</t>
  </si>
  <si>
    <t xml:space="preserve">Allocations familiales </t>
  </si>
  <si>
    <t>Accidents du travail</t>
  </si>
  <si>
    <t>Fonds national d'aide au logement</t>
  </si>
  <si>
    <t>Ircem Prévoyance</t>
  </si>
  <si>
    <t>Formation professionnelle</t>
  </si>
  <si>
    <t>Contribution org. Syndicales</t>
  </si>
  <si>
    <t>Contribution de solidarité autonomie</t>
  </si>
  <si>
    <t>TOTAL  Retenues</t>
  </si>
  <si>
    <t>Montant de la déduction forfaitaire</t>
  </si>
  <si>
    <t>TOTAL Retenues après déduction</t>
  </si>
  <si>
    <t>SB</t>
  </si>
  <si>
    <t>Cotisations Patronales</t>
  </si>
  <si>
    <t>Informations personnelles à compléter FAMILLE MONOPARENTALE</t>
  </si>
  <si>
    <t>(1)&gt;=1</t>
  </si>
  <si>
    <t>(2)répondre par oui ou non</t>
  </si>
  <si>
    <t>SS TOTAL 1</t>
  </si>
  <si>
    <t>SS TOTAL 2</t>
  </si>
  <si>
    <t>Soit</t>
  </si>
  <si>
    <t>SOIT</t>
  </si>
  <si>
    <t>Cotisations Salariales</t>
  </si>
  <si>
    <t>Ce simulateur peut présenter quelques diffrences avec les simulations de Pajemploi du fait des arrondis. Ces informations vous sont fournies à titre purement indicatif.</t>
  </si>
  <si>
    <t xml:space="preserve">Montant du crédit d'impôt </t>
  </si>
  <si>
    <t>Taux horaire échelle 3</t>
  </si>
  <si>
    <t>CRECHE (Tarif journalier)</t>
  </si>
  <si>
    <t>COÛT MENSUEL FINAL</t>
  </si>
  <si>
    <t>Frais de gestion facturés par une structure agréée</t>
  </si>
  <si>
    <t xml:space="preserve">Dépenses annuelles après crédit d'impôt </t>
  </si>
  <si>
    <t>Revenu annuel imposable avant abattement (pour l'accueil collectif)</t>
  </si>
  <si>
    <t>Plus de 3 ans</t>
  </si>
  <si>
    <t>Nombre d'heures complémentaires</t>
  </si>
  <si>
    <t>Réduction HS + HC</t>
  </si>
  <si>
    <t>Réduction HS +HC</t>
  </si>
  <si>
    <t>Salaire journalier mini net</t>
  </si>
  <si>
    <t>29 788&lt;R&lt;66 196</t>
  </si>
  <si>
    <t>34 016&lt;R&lt;75 593</t>
  </si>
  <si>
    <t>38 244&lt;R&lt;84 990</t>
  </si>
  <si>
    <t>42 472&lt;R&lt;94 387</t>
  </si>
  <si>
    <t>Maj 1er octobre 2021</t>
  </si>
  <si>
    <t>Montant plancher pris en compte pour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</si>
</sst>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_-* #,##0.00\ _€_-;\-* #,##0.00\ _€_-;_-* &quot;-&quot;??\ _€_-;_-@_-"/>
    <numFmt numFmtId="165" formatCode="#,##0.00_ ;\-#,##0.00\ "/>
    <numFmt numFmtId="166" formatCode="0.000%"/>
  </numFmts>
  <fonts count="40" x14ac:knownFonts="1">
    <font>
      <sz val="11"/>
      <name val="Times New Roman"/>
    </font>
    <font>
      <sz val="11"/>
      <name val="Times New Roman"/>
      <family val="1"/>
    </font>
    <font>
      <sz val="9"/>
      <name val="Arial"/>
      <family val="2"/>
    </font>
    <font>
      <b/>
      <sz val="9"/>
      <name val="Arial"/>
      <family val="2"/>
    </font>
    <font>
      <sz val="9"/>
      <name val="Times New Roman"/>
      <family val="1"/>
    </font>
    <font>
      <sz val="8.5"/>
      <name val="Arial"/>
      <family val="2"/>
    </font>
    <font>
      <b/>
      <sz val="8.5"/>
      <name val="Arial"/>
      <family val="2"/>
    </font>
    <font>
      <i/>
      <sz val="8.5"/>
      <name val="Arial"/>
      <family val="2"/>
    </font>
    <font>
      <b/>
      <u/>
      <sz val="8.5"/>
      <name val="Arial"/>
      <family val="2"/>
    </font>
    <font>
      <b/>
      <i/>
      <sz val="8.5"/>
      <name val="Arial"/>
      <family val="2"/>
    </font>
    <font>
      <sz val="8.5"/>
      <color indexed="8"/>
      <name val="Arial"/>
      <family val="2"/>
    </font>
    <font>
      <sz val="8"/>
      <color indexed="81"/>
      <name val="Tahoma"/>
      <family val="2"/>
    </font>
    <font>
      <b/>
      <sz val="8"/>
      <color indexed="81"/>
      <name val="Tahoma"/>
      <family val="2"/>
    </font>
    <font>
      <u/>
      <sz val="11"/>
      <color indexed="12"/>
      <name val="Times New Roman"/>
      <family val="1"/>
    </font>
    <font>
      <b/>
      <sz val="10"/>
      <name val="Arial"/>
      <family val="2"/>
    </font>
    <font>
      <u/>
      <sz val="8.5"/>
      <name val="Arial"/>
      <family val="2"/>
    </font>
    <font>
      <sz val="8"/>
      <name val="Times New Roman"/>
      <family val="1"/>
    </font>
    <font>
      <b/>
      <i/>
      <sz val="10"/>
      <name val="Arial"/>
      <family val="2"/>
    </font>
    <font>
      <u/>
      <sz val="11"/>
      <name val="Times New Roman"/>
      <family val="1"/>
    </font>
    <font>
      <sz val="10"/>
      <color indexed="81"/>
      <name val="Tahoma"/>
      <family val="2"/>
    </font>
    <font>
      <b/>
      <sz val="9"/>
      <color indexed="63"/>
      <name val="Arial"/>
      <family val="2"/>
    </font>
    <font>
      <sz val="9"/>
      <color indexed="63"/>
      <name val="Arial"/>
      <family val="2"/>
    </font>
    <font>
      <sz val="9"/>
      <color indexed="81"/>
      <name val="Tahoma"/>
      <family val="2"/>
    </font>
    <font>
      <b/>
      <i/>
      <sz val="9"/>
      <name val="Arial"/>
      <family val="2"/>
    </font>
    <font>
      <sz val="8"/>
      <name val="Arial"/>
      <family val="2"/>
    </font>
    <font>
      <b/>
      <u/>
      <sz val="8"/>
      <color indexed="81"/>
      <name val="Tahoma"/>
      <family val="2"/>
    </font>
    <font>
      <sz val="9"/>
      <color indexed="10"/>
      <name val="Arial"/>
      <family val="2"/>
    </font>
    <font>
      <b/>
      <i/>
      <sz val="9"/>
      <name val="Times New Roman"/>
      <family val="1"/>
    </font>
    <font>
      <b/>
      <i/>
      <sz val="9"/>
      <color indexed="10"/>
      <name val="Times New Roman"/>
      <family val="1"/>
    </font>
    <font>
      <b/>
      <sz val="9"/>
      <name val="Times New Roman"/>
      <family val="1"/>
    </font>
    <font>
      <b/>
      <sz val="8"/>
      <name val="Arial"/>
      <family val="2"/>
    </font>
    <font>
      <sz val="10"/>
      <name val="Arial"/>
      <family val="2"/>
    </font>
    <font>
      <sz val="7"/>
      <name val="Arial"/>
      <family val="2"/>
    </font>
    <font>
      <b/>
      <sz val="11"/>
      <name val="Times New Roman"/>
      <family val="1"/>
    </font>
    <font>
      <b/>
      <sz val="8.5"/>
      <color rgb="FFFF0000"/>
      <name val="Arial"/>
      <family val="2"/>
    </font>
    <font>
      <b/>
      <sz val="9"/>
      <color rgb="FF555555"/>
      <name val="Arial"/>
      <family val="2"/>
    </font>
    <font>
      <sz val="8.5"/>
      <color theme="0"/>
      <name val="Arial"/>
      <family val="2"/>
    </font>
    <font>
      <b/>
      <sz val="8.5"/>
      <color theme="1"/>
      <name val="Arial"/>
      <family val="2"/>
    </font>
    <font>
      <b/>
      <sz val="8.5"/>
      <color theme="0"/>
      <name val="Arial"/>
      <family val="2"/>
    </font>
    <font>
      <sz val="8"/>
      <color rgb="FFFF0000"/>
      <name val="Arial"/>
      <family val="2"/>
    </font>
  </fonts>
  <fills count="16">
    <fill>
      <patternFill patternType="none"/>
    </fill>
    <fill>
      <patternFill patternType="gray125"/>
    </fill>
    <fill>
      <patternFill patternType="solid">
        <fgColor indexed="48"/>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theme="0"/>
        <bgColor indexed="64"/>
      </patternFill>
    </fill>
    <fill>
      <patternFill patternType="solid">
        <fgColor theme="6"/>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0C9"/>
        <bgColor indexed="64"/>
      </patternFill>
    </fill>
    <fill>
      <patternFill patternType="solid">
        <fgColor rgb="FF0070C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2" tint="-0.249977111117893"/>
        <bgColor indexed="64"/>
      </patternFill>
    </fill>
  </fills>
  <borders count="137">
    <border>
      <left/>
      <right/>
      <top/>
      <bottom/>
      <diagonal/>
    </border>
    <border>
      <left/>
      <right/>
      <top/>
      <bottom style="hair">
        <color indexed="64"/>
      </bottom>
      <diagonal/>
    </border>
    <border>
      <left/>
      <right/>
      <top style="thin">
        <color indexed="48"/>
      </top>
      <bottom style="thin">
        <color indexed="48"/>
      </bottom>
      <diagonal/>
    </border>
    <border>
      <left/>
      <right/>
      <top style="hair">
        <color indexed="64"/>
      </top>
      <bottom style="hair">
        <color indexed="64"/>
      </bottom>
      <diagonal/>
    </border>
    <border>
      <left/>
      <right/>
      <top style="thin">
        <color indexed="64"/>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top/>
      <bottom style="thin">
        <color indexed="48"/>
      </bottom>
      <diagonal/>
    </border>
    <border>
      <left/>
      <right/>
      <top/>
      <bottom style="medium">
        <color indexed="64"/>
      </bottom>
      <diagonal/>
    </border>
    <border>
      <left style="thin">
        <color indexed="12"/>
      </left>
      <right/>
      <top style="hair">
        <color indexed="64"/>
      </top>
      <bottom style="hair">
        <color indexed="64"/>
      </bottom>
      <diagonal/>
    </border>
    <border>
      <left style="thin">
        <color indexed="12"/>
      </left>
      <right/>
      <top/>
      <bottom style="hair">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style="thin">
        <color indexed="12"/>
      </left>
      <right/>
      <top/>
      <bottom/>
      <diagonal/>
    </border>
    <border>
      <left style="thin">
        <color indexed="12"/>
      </left>
      <right/>
      <top style="thin">
        <color indexed="64"/>
      </top>
      <bottom style="thin">
        <color indexed="64"/>
      </bottom>
      <diagonal/>
    </border>
    <border>
      <left style="thin">
        <color indexed="12"/>
      </left>
      <right/>
      <top style="hair">
        <color indexed="64"/>
      </top>
      <bottom/>
      <diagonal/>
    </border>
    <border>
      <left/>
      <right/>
      <top style="thin">
        <color indexed="64"/>
      </top>
      <bottom style="hair">
        <color indexed="64"/>
      </bottom>
      <diagonal/>
    </border>
    <border>
      <left style="thin">
        <color indexed="12"/>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right/>
      <top style="hair">
        <color indexed="64"/>
      </top>
      <bottom style="thin">
        <color indexed="64"/>
      </bottom>
      <diagonal/>
    </border>
    <border>
      <left style="thin">
        <color indexed="12"/>
      </left>
      <right/>
      <top/>
      <bottom style="thin">
        <color indexed="64"/>
      </bottom>
      <diagonal/>
    </border>
    <border>
      <left style="thin">
        <color indexed="12"/>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12"/>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ck">
        <color indexed="64"/>
      </top>
      <bottom style="hair">
        <color indexed="64"/>
      </bottom>
      <diagonal/>
    </border>
    <border>
      <left/>
      <right/>
      <top style="thick">
        <color indexed="64"/>
      </top>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diagonal/>
    </border>
    <border>
      <left/>
      <right style="thick">
        <color indexed="64"/>
      </right>
      <top style="thick">
        <color indexed="64"/>
      </top>
      <bottom/>
      <diagonal/>
    </border>
    <border>
      <left/>
      <right style="thick">
        <color indexed="64"/>
      </right>
      <top/>
      <bottom/>
      <diagonal/>
    </border>
    <border>
      <left style="hair">
        <color indexed="64"/>
      </left>
      <right style="hair">
        <color indexed="64"/>
      </right>
      <top style="hair">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12"/>
      </left>
      <right style="hair">
        <color indexed="55"/>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12"/>
      </left>
      <right/>
      <top style="thin">
        <color theme="0" tint="-0.34998626667073579"/>
      </top>
      <bottom style="thin">
        <color theme="0" tint="-0.34998626667073579"/>
      </bottom>
      <diagonal/>
    </border>
    <border>
      <left style="thin">
        <color indexed="12"/>
      </left>
      <right/>
      <top/>
      <bottom style="thin">
        <color theme="0" tint="-0.34998626667073579"/>
      </bottom>
      <diagonal/>
    </border>
    <border>
      <left/>
      <right/>
      <top/>
      <bottom style="thin">
        <color theme="0" tint="-0.34998626667073579"/>
      </bottom>
      <diagonal/>
    </border>
    <border>
      <left style="thin">
        <color indexed="12"/>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hair">
        <color theme="0" tint="-0.14996795556505021"/>
      </top>
      <bottom style="hair">
        <color theme="0" tint="-0.14996795556505021"/>
      </bottom>
      <diagonal/>
    </border>
    <border>
      <left style="thin">
        <color theme="1"/>
      </left>
      <right style="thin">
        <color theme="1"/>
      </right>
      <top/>
      <bottom/>
      <diagonal/>
    </border>
    <border>
      <left style="thin">
        <color theme="2" tint="-0.749992370372631"/>
      </left>
      <right style="thin">
        <color theme="1"/>
      </right>
      <top style="thin">
        <color theme="2" tint="-0.749992370372631"/>
      </top>
      <bottom style="thin">
        <color theme="2" tint="-0.749992370372631"/>
      </bottom>
      <diagonal/>
    </border>
    <border>
      <left/>
      <right/>
      <top style="thin">
        <color theme="2" tint="-0.749992370372631"/>
      </top>
      <bottom style="hair">
        <color theme="0" tint="-0.14996795556505021"/>
      </bottom>
      <diagonal/>
    </border>
    <border>
      <left/>
      <right/>
      <top/>
      <bottom style="hair">
        <color theme="0" tint="-0.14996795556505021"/>
      </bottom>
      <diagonal/>
    </border>
    <border>
      <left/>
      <right/>
      <top style="hair">
        <color theme="0" tint="-0.14996795556505021"/>
      </top>
      <bottom style="thin">
        <color indexed="64"/>
      </bottom>
      <diagonal/>
    </border>
    <border>
      <left style="thin">
        <color theme="1"/>
      </left>
      <right style="thin">
        <color theme="1"/>
      </right>
      <top style="hair">
        <color theme="0" tint="-0.14996795556505021"/>
      </top>
      <bottom style="hair">
        <color theme="0" tint="-0.14996795556505021"/>
      </bottom>
      <diagonal/>
    </border>
    <border>
      <left/>
      <right/>
      <top style="thin">
        <color indexed="64"/>
      </top>
      <bottom style="hair">
        <color theme="0" tint="-0.14996795556505021"/>
      </bottom>
      <diagonal/>
    </border>
    <border>
      <left style="thin">
        <color theme="1"/>
      </left>
      <right style="thin">
        <color theme="1"/>
      </right>
      <top style="thin">
        <color indexed="64"/>
      </top>
      <bottom style="hair">
        <color theme="0" tint="-0.14996795556505021"/>
      </bottom>
      <diagonal/>
    </border>
    <border>
      <left style="thin">
        <color theme="1"/>
      </left>
      <right style="thin">
        <color theme="1"/>
      </right>
      <top style="hair">
        <color theme="0" tint="-0.14996795556505021"/>
      </top>
      <bottom style="thin">
        <color indexed="64"/>
      </bottom>
      <diagonal/>
    </border>
    <border>
      <left style="thin">
        <color theme="1"/>
      </left>
      <right style="thin">
        <color theme="1"/>
      </right>
      <top/>
      <bottom style="hair">
        <color theme="0" tint="-0.14996795556505021"/>
      </bottom>
      <diagonal/>
    </border>
    <border>
      <left style="thin">
        <color indexed="64"/>
      </left>
      <right style="thin">
        <color indexed="64"/>
      </right>
      <top style="hair">
        <color theme="0" tint="-0.14996795556505021"/>
      </top>
      <bottom style="hair">
        <color theme="0" tint="-0.14996795556505021"/>
      </bottom>
      <diagonal/>
    </border>
    <border>
      <left/>
      <right/>
      <top style="hair">
        <color theme="0" tint="-0.14996795556505021"/>
      </top>
      <bottom/>
      <diagonal/>
    </border>
    <border>
      <left style="medium">
        <color theme="2" tint="-0.749992370372631"/>
      </left>
      <right/>
      <top style="medium">
        <color theme="2" tint="-0.749992370372631"/>
      </top>
      <bottom style="thin">
        <color theme="2" tint="-0.749992370372631"/>
      </bottom>
      <diagonal/>
    </border>
    <border>
      <left/>
      <right/>
      <top style="medium">
        <color theme="2" tint="-0.749992370372631"/>
      </top>
      <bottom style="thin">
        <color theme="2" tint="-0.749992370372631"/>
      </bottom>
      <diagonal/>
    </border>
    <border>
      <left/>
      <right style="medium">
        <color theme="2" tint="-0.749992370372631"/>
      </right>
      <top style="medium">
        <color theme="2" tint="-0.749992370372631"/>
      </top>
      <bottom style="thin">
        <color theme="2" tint="-0.749992370372631"/>
      </bottom>
      <diagonal/>
    </border>
    <border>
      <left style="medium">
        <color theme="2" tint="-0.749992370372631"/>
      </left>
      <right/>
      <top style="thin">
        <color theme="2" tint="-0.749992370372631"/>
      </top>
      <bottom style="hair">
        <color theme="0" tint="-0.14996795556505021"/>
      </bottom>
      <diagonal/>
    </border>
    <border>
      <left style="medium">
        <color theme="2" tint="-0.749992370372631"/>
      </left>
      <right/>
      <top style="hair">
        <color theme="0" tint="-0.14996795556505021"/>
      </top>
      <bottom style="hair">
        <color theme="0" tint="-0.14996795556505021"/>
      </bottom>
      <diagonal/>
    </border>
    <border>
      <left style="medium">
        <color theme="2" tint="-0.749992370372631"/>
      </left>
      <right/>
      <top style="medium">
        <color theme="2" tint="-0.749992370372631"/>
      </top>
      <bottom/>
      <diagonal/>
    </border>
    <border>
      <left/>
      <right/>
      <top style="medium">
        <color theme="2" tint="-0.749992370372631"/>
      </top>
      <bottom/>
      <diagonal/>
    </border>
    <border>
      <left style="medium">
        <color theme="2" tint="-0.749992370372631"/>
      </left>
      <right/>
      <top/>
      <bottom/>
      <diagonal/>
    </border>
    <border>
      <left style="medium">
        <color theme="2" tint="-0.749992370372631"/>
      </left>
      <right/>
      <top/>
      <bottom style="hair">
        <color theme="0" tint="-0.14996795556505021"/>
      </bottom>
      <diagonal/>
    </border>
    <border>
      <left style="medium">
        <color theme="2" tint="-0.749992370372631"/>
      </left>
      <right/>
      <top style="hair">
        <color theme="0" tint="-0.14996795556505021"/>
      </top>
      <bottom style="thin">
        <color indexed="64"/>
      </bottom>
      <diagonal/>
    </border>
    <border>
      <left style="medium">
        <color theme="2" tint="-0.749992370372631"/>
      </left>
      <right/>
      <top style="thin">
        <color indexed="64"/>
      </top>
      <bottom style="hair">
        <color theme="0" tint="-0.14996795556505021"/>
      </bottom>
      <diagonal/>
    </border>
    <border>
      <left style="medium">
        <color theme="2" tint="-0.749992370372631"/>
      </left>
      <right/>
      <top style="hair">
        <color indexed="64"/>
      </top>
      <bottom style="hair">
        <color theme="0" tint="-0.14996795556505021"/>
      </bottom>
      <diagonal/>
    </border>
    <border>
      <left style="thin">
        <color theme="1"/>
      </left>
      <right style="thin">
        <color theme="1"/>
      </right>
      <top style="thin">
        <color indexed="64"/>
      </top>
      <bottom style="thin">
        <color indexed="64"/>
      </bottom>
      <diagonal/>
    </border>
    <border>
      <left style="medium">
        <color theme="2" tint="-0.749992370372631"/>
      </left>
      <right/>
      <top style="thin">
        <color indexed="64"/>
      </top>
      <bottom style="thin">
        <color indexed="64"/>
      </bottom>
      <diagonal/>
    </border>
    <border>
      <left style="medium">
        <color theme="2" tint="-0.749992370372631"/>
      </left>
      <right/>
      <top/>
      <bottom style="medium">
        <color theme="2" tint="-0.749992370372631"/>
      </bottom>
      <diagonal/>
    </border>
    <border>
      <left/>
      <right/>
      <top/>
      <bottom style="medium">
        <color theme="2" tint="-0.749992370372631"/>
      </bottom>
      <diagonal/>
    </border>
    <border>
      <left style="thin">
        <color theme="1"/>
      </left>
      <right style="thin">
        <color theme="1"/>
      </right>
      <top/>
      <bottom style="medium">
        <color theme="2" tint="-0.749992370372631"/>
      </bottom>
      <diagonal/>
    </border>
    <border>
      <left style="thin">
        <color theme="2" tint="-0.749992370372631"/>
      </left>
      <right style="medium">
        <color theme="2" tint="-0.749992370372631"/>
      </right>
      <top style="thin">
        <color theme="2" tint="-0.749992370372631"/>
      </top>
      <bottom style="hair">
        <color theme="0" tint="-0.14996795556505021"/>
      </bottom>
      <diagonal/>
    </border>
    <border>
      <left style="thin">
        <color theme="2" tint="-0.749992370372631"/>
      </left>
      <right style="medium">
        <color theme="2" tint="-0.749992370372631"/>
      </right>
      <top style="hair">
        <color theme="0" tint="-0.14996795556505021"/>
      </top>
      <bottom style="hair">
        <color theme="0" tint="-0.14996795556505021"/>
      </bottom>
      <diagonal/>
    </border>
    <border>
      <left style="thin">
        <color theme="1"/>
      </left>
      <right style="thin">
        <color theme="1"/>
      </right>
      <top style="thin">
        <color indexed="64"/>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right style="thin">
        <color theme="1"/>
      </right>
      <top style="thin">
        <color theme="2" tint="-0.749992370372631"/>
      </top>
      <bottom style="thin">
        <color theme="2" tint="-0.749992370372631"/>
      </bottom>
      <diagonal/>
    </border>
    <border>
      <left/>
      <right style="thin">
        <color theme="1"/>
      </right>
      <top/>
      <bottom/>
      <diagonal/>
    </border>
    <border>
      <left style="thin">
        <color theme="1"/>
      </left>
      <right style="medium">
        <color rgb="FF002060"/>
      </right>
      <top style="thin">
        <color theme="2" tint="-0.749992370372631"/>
      </top>
      <bottom style="thin">
        <color theme="2" tint="-0.749992370372631"/>
      </bottom>
      <diagonal/>
    </border>
    <border>
      <left style="thin">
        <color theme="1"/>
      </left>
      <right style="medium">
        <color rgb="FF002060"/>
      </right>
      <top/>
      <bottom style="hair">
        <color theme="0" tint="-0.14996795556505021"/>
      </bottom>
      <diagonal/>
    </border>
    <border>
      <left style="thin">
        <color theme="1"/>
      </left>
      <right style="medium">
        <color rgb="FF002060"/>
      </right>
      <top style="hair">
        <color theme="0" tint="-0.14996795556505021"/>
      </top>
      <bottom style="hair">
        <color theme="0" tint="-0.14996795556505021"/>
      </bottom>
      <diagonal/>
    </border>
    <border>
      <left style="thin">
        <color theme="1"/>
      </left>
      <right style="medium">
        <color rgb="FF002060"/>
      </right>
      <top style="hair">
        <color theme="0" tint="-0.14996795556505021"/>
      </top>
      <bottom style="thin">
        <color indexed="64"/>
      </bottom>
      <diagonal/>
    </border>
    <border>
      <left style="thin">
        <color theme="1"/>
      </left>
      <right style="medium">
        <color rgb="FF002060"/>
      </right>
      <top style="thin">
        <color indexed="64"/>
      </top>
      <bottom style="thin">
        <color indexed="64"/>
      </bottom>
      <diagonal/>
    </border>
    <border>
      <left style="thin">
        <color theme="1"/>
      </left>
      <right style="medium">
        <color rgb="FF002060"/>
      </right>
      <top/>
      <bottom/>
      <diagonal/>
    </border>
    <border>
      <left style="thin">
        <color indexed="64"/>
      </left>
      <right style="medium">
        <color rgb="FF002060"/>
      </right>
      <top style="thin">
        <color indexed="64"/>
      </top>
      <bottom style="thin">
        <color indexed="64"/>
      </bottom>
      <diagonal/>
    </border>
    <border>
      <left/>
      <right style="medium">
        <color rgb="FF002060"/>
      </right>
      <top/>
      <bottom/>
      <diagonal/>
    </border>
    <border>
      <left style="thin">
        <color theme="1"/>
      </left>
      <right style="medium">
        <color rgb="FF002060"/>
      </right>
      <top style="thin">
        <color indexed="64"/>
      </top>
      <bottom/>
      <diagonal/>
    </border>
    <border>
      <left style="thin">
        <color theme="1"/>
      </left>
      <right style="medium">
        <color rgb="FF002060"/>
      </right>
      <top/>
      <bottom style="medium">
        <color theme="2" tint="-0.749992370372631"/>
      </bottom>
      <diagonal/>
    </border>
    <border>
      <left/>
      <right style="thin">
        <color theme="1"/>
      </right>
      <top style="thin">
        <color theme="2" tint="-0.749992370372631"/>
      </top>
      <bottom style="hair">
        <color theme="0" tint="-0.14996795556505021"/>
      </bottom>
      <diagonal/>
    </border>
    <border>
      <left/>
      <right style="thin">
        <color theme="1"/>
      </right>
      <top style="hair">
        <color theme="0" tint="-0.14996795556505021"/>
      </top>
      <bottom style="hair">
        <color theme="0" tint="-0.14996795556505021"/>
      </bottom>
      <diagonal/>
    </border>
    <border>
      <left/>
      <right style="thin">
        <color theme="1"/>
      </right>
      <top style="thin">
        <color indexed="64"/>
      </top>
      <bottom style="hair">
        <color theme="0" tint="-0.14996795556505021"/>
      </bottom>
      <diagonal/>
    </border>
    <border>
      <left/>
      <right style="thin">
        <color theme="1"/>
      </right>
      <top style="hair">
        <color theme="0" tint="-0.14996795556505021"/>
      </top>
      <bottom/>
      <diagonal/>
    </border>
    <border>
      <left/>
      <right style="thin">
        <color indexed="64"/>
      </right>
      <top style="hair">
        <color theme="0" tint="-0.14996795556505021"/>
      </top>
      <bottom style="hair">
        <color theme="0" tint="-0.14996795556505021"/>
      </bottom>
      <diagonal/>
    </border>
    <border>
      <left/>
      <right style="thin">
        <color theme="1"/>
      </right>
      <top/>
      <bottom style="thin">
        <color indexed="64"/>
      </bottom>
      <diagonal/>
    </border>
    <border>
      <left/>
      <right style="thin">
        <color theme="1"/>
      </right>
      <top/>
      <bottom style="hair">
        <color theme="0" tint="-0.14996795556505021"/>
      </bottom>
      <diagonal/>
    </border>
    <border>
      <left/>
      <right style="thin">
        <color theme="1"/>
      </right>
      <top style="hair">
        <color theme="0" tint="-0.14996795556505021"/>
      </top>
      <bottom style="thin">
        <color indexed="64"/>
      </bottom>
      <diagonal/>
    </border>
    <border>
      <left/>
      <right style="thin">
        <color theme="1"/>
      </right>
      <top/>
      <bottom style="medium">
        <color theme="2" tint="-0.749992370372631"/>
      </bottom>
      <diagonal/>
    </border>
    <border>
      <left style="medium">
        <color rgb="FF002060"/>
      </left>
      <right style="medium">
        <color rgb="FF002060"/>
      </right>
      <top/>
      <bottom style="hair">
        <color theme="0" tint="-0.14996795556505021"/>
      </bottom>
      <diagonal/>
    </border>
    <border>
      <left style="medium">
        <color rgb="FF002060"/>
      </left>
      <right style="medium">
        <color rgb="FF002060"/>
      </right>
      <top style="hair">
        <color theme="0" tint="-0.14996795556505021"/>
      </top>
      <bottom style="hair">
        <color theme="0" tint="-0.14996795556505021"/>
      </bottom>
      <diagonal/>
    </border>
    <border>
      <left style="medium">
        <color rgb="FF002060"/>
      </left>
      <right style="medium">
        <color rgb="FF002060"/>
      </right>
      <top style="hair">
        <color theme="0" tint="-0.14996795556505021"/>
      </top>
      <bottom/>
      <diagonal/>
    </border>
    <border>
      <left style="medium">
        <color rgb="FF002060"/>
      </left>
      <right style="medium">
        <color rgb="FF002060"/>
      </right>
      <top/>
      <bottom/>
      <diagonal/>
    </border>
    <border>
      <left style="thin">
        <color theme="1"/>
      </left>
      <right style="medium">
        <color rgb="FF002060"/>
      </right>
      <top style="thin">
        <color theme="2" tint="-0.749992370372631"/>
      </top>
      <bottom style="hair">
        <color theme="0" tint="-0.14996795556505021"/>
      </bottom>
      <diagonal/>
    </border>
    <border>
      <left style="thin">
        <color theme="1"/>
      </left>
      <right style="medium">
        <color rgb="FF002060"/>
      </right>
      <top style="hair">
        <color theme="0" tint="-0.14996795556505021"/>
      </top>
      <bottom/>
      <diagonal/>
    </border>
    <border>
      <left style="thin">
        <color theme="1"/>
      </left>
      <right style="medium">
        <color rgb="FF002060"/>
      </right>
      <top style="thin">
        <color indexed="64"/>
      </top>
      <bottom style="hair">
        <color theme="0" tint="-0.14996795556505021"/>
      </bottom>
      <diagonal/>
    </border>
    <border>
      <left style="thin">
        <color indexed="64"/>
      </left>
      <right style="medium">
        <color rgb="FF002060"/>
      </right>
      <top style="hair">
        <color theme="0" tint="-0.14996795556505021"/>
      </top>
      <bottom style="hair">
        <color theme="0" tint="-0.14996795556505021"/>
      </bottom>
      <diagonal/>
    </border>
    <border>
      <left style="thin">
        <color theme="1"/>
      </left>
      <right style="medium">
        <color rgb="FF002060"/>
      </right>
      <top/>
      <bottom style="thin">
        <color indexed="64"/>
      </bottom>
      <diagonal/>
    </border>
    <border>
      <left/>
      <right style="medium">
        <color theme="2" tint="-0.749992370372631"/>
      </right>
      <top/>
      <bottom style="thin">
        <color theme="2" tint="-0.749992370372631"/>
      </bottom>
      <diagonal/>
    </border>
    <border>
      <left/>
      <right style="medium">
        <color theme="2" tint="-0.749992370372631"/>
      </right>
      <top style="thin">
        <color theme="2" tint="-0.749992370372631"/>
      </top>
      <bottom style="hair">
        <color theme="0" tint="-0.14996795556505021"/>
      </bottom>
      <diagonal/>
    </border>
    <border>
      <left/>
      <right style="medium">
        <color theme="2" tint="-0.749992370372631"/>
      </right>
      <top style="hair">
        <color theme="0" tint="-0.14996795556505021"/>
      </top>
      <bottom style="hair">
        <color theme="0" tint="-0.14996795556505021"/>
      </bottom>
      <diagonal/>
    </border>
    <border>
      <left/>
      <right style="medium">
        <color theme="2" tint="-0.749992370372631"/>
      </right>
      <top/>
      <bottom/>
      <diagonal/>
    </border>
    <border>
      <left/>
      <right style="medium">
        <color theme="2" tint="-0.749992370372631"/>
      </right>
      <top style="hair">
        <color theme="0" tint="-0.14996795556505021"/>
      </top>
      <bottom style="thin">
        <color indexed="64"/>
      </bottom>
      <diagonal/>
    </border>
    <border>
      <left/>
      <right style="medium">
        <color theme="2" tint="-0.749992370372631"/>
      </right>
      <top style="thin">
        <color indexed="64"/>
      </top>
      <bottom style="thin">
        <color indexed="64"/>
      </bottom>
      <diagonal/>
    </border>
    <border>
      <left/>
      <right style="medium">
        <color theme="2" tint="-0.749992370372631"/>
      </right>
      <top/>
      <bottom style="hair">
        <color theme="0" tint="-0.14996795556505021"/>
      </bottom>
      <diagonal/>
    </border>
    <border>
      <left/>
      <right style="medium">
        <color theme="2" tint="-0.749992370372631"/>
      </right>
      <top/>
      <bottom style="medium">
        <color theme="2" tint="-0.749992370372631"/>
      </bottom>
      <diagonal/>
    </border>
    <border>
      <left style="medium">
        <color rgb="FF002060"/>
      </left>
      <right style="medium">
        <color rgb="FF002060"/>
      </right>
      <top/>
      <bottom style="thin">
        <color indexed="64"/>
      </bottom>
      <diagonal/>
    </border>
    <border>
      <left style="medium">
        <color rgb="FF002060"/>
      </left>
      <right style="medium">
        <color rgb="FF002060"/>
      </right>
      <top style="medium">
        <color theme="0"/>
      </top>
      <bottom style="hair">
        <color theme="0" tint="-0.14996795556505021"/>
      </bottom>
      <diagonal/>
    </border>
    <border>
      <left style="thin">
        <color indexed="12"/>
      </left>
      <right style="hair">
        <color indexed="64"/>
      </right>
      <top style="thin">
        <color theme="0" tint="-0.34998626667073579"/>
      </top>
      <bottom style="thin">
        <color theme="0" tint="-0.34998626667073579"/>
      </bottom>
      <diagonal/>
    </border>
    <border>
      <left style="hair">
        <color indexed="64"/>
      </left>
      <right style="hair">
        <color indexed="64"/>
      </right>
      <top style="thin">
        <color theme="0" tint="-0.34998626667073579"/>
      </top>
      <bottom style="thin">
        <color theme="0" tint="-0.34998626667073579"/>
      </bottom>
      <diagonal/>
    </border>
    <border>
      <left style="hair">
        <color indexed="64"/>
      </left>
      <right/>
      <top style="thin">
        <color theme="0" tint="-0.34998626667073579"/>
      </top>
      <bottom style="thin">
        <color theme="0" tint="-0.34998626667073579"/>
      </bottom>
      <diagonal/>
    </border>
    <border>
      <left/>
      <right style="medium">
        <color rgb="FF002060"/>
      </right>
      <top style="medium">
        <color theme="2" tint="-0.749992370372631"/>
      </top>
      <bottom style="thin">
        <color theme="2" tint="-0.749992370372631"/>
      </bottom>
      <diagonal/>
    </border>
    <border>
      <left style="thin">
        <color theme="2" tint="-0.749992370372631"/>
      </left>
      <right/>
      <top style="medium">
        <color theme="2" tint="-0.749992370372631"/>
      </top>
      <bottom style="thin">
        <color theme="2" tint="-0.749992370372631"/>
      </bottom>
      <diagonal/>
    </border>
    <border>
      <left style="medium">
        <color theme="2" tint="-0.749992370372631"/>
      </left>
      <right/>
      <top style="hair">
        <color theme="0" tint="-0.14996795556505021"/>
      </top>
      <bottom/>
      <diagonal/>
    </border>
    <border>
      <left style="thin">
        <color theme="1"/>
      </left>
      <right style="thin">
        <color theme="1"/>
      </right>
      <top style="hair">
        <color theme="0" tint="-0.14996795556505021"/>
      </top>
      <bottom/>
      <diagonal/>
    </border>
  </borders>
  <cellStyleXfs count="5">
    <xf numFmtId="0" fontId="0" fillId="0" borderId="0"/>
    <xf numFmtId="0" fontId="13" fillId="0" borderId="0" applyNumberFormat="0" applyFill="0" applyBorder="0" applyAlignment="0" applyProtection="0">
      <alignment vertical="top"/>
      <protection locked="0"/>
    </xf>
    <xf numFmtId="16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494">
    <xf numFmtId="0" fontId="0" fillId="0" borderId="0" xfId="0"/>
    <xf numFmtId="0" fontId="4" fillId="0" borderId="0" xfId="0" applyFont="1"/>
    <xf numFmtId="0" fontId="4" fillId="0" borderId="0" xfId="0" applyFont="1" applyBorder="1"/>
    <xf numFmtId="0" fontId="2" fillId="0" borderId="0" xfId="0" applyFont="1" applyBorder="1" applyAlignment="1">
      <alignment horizontal="center"/>
    </xf>
    <xf numFmtId="0" fontId="6" fillId="0" borderId="0" xfId="0"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6" fillId="0" borderId="0" xfId="0" applyFont="1" applyAlignment="1" applyProtection="1">
      <alignment horizontal="left" vertical="center"/>
      <protection hidden="1"/>
    </xf>
    <xf numFmtId="49" fontId="5" fillId="0" borderId="0" xfId="0" applyNumberFormat="1" applyFont="1" applyAlignment="1" applyProtection="1">
      <alignment horizontal="right" vertical="center"/>
      <protection hidden="1"/>
    </xf>
    <xf numFmtId="49" fontId="5" fillId="0" borderId="0" xfId="0" applyNumberFormat="1" applyFont="1" applyBorder="1" applyAlignment="1" applyProtection="1">
      <alignment horizontal="left" vertical="center"/>
      <protection hidden="1"/>
    </xf>
    <xf numFmtId="0" fontId="5" fillId="0" borderId="1" xfId="0" applyFont="1" applyBorder="1" applyAlignment="1" applyProtection="1">
      <alignment horizontal="left" vertical="center"/>
      <protection hidden="1"/>
    </xf>
    <xf numFmtId="0" fontId="5" fillId="0" borderId="0" xfId="0" applyFont="1" applyBorder="1" applyAlignment="1" applyProtection="1">
      <alignment horizontal="left" vertical="center"/>
      <protection hidden="1"/>
    </xf>
    <xf numFmtId="0" fontId="5" fillId="0" borderId="0" xfId="0"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5" fillId="2" borderId="0" xfId="0" applyFont="1" applyFill="1" applyBorder="1" applyAlignment="1" applyProtection="1">
      <alignment vertical="center"/>
      <protection hidden="1"/>
    </xf>
    <xf numFmtId="0" fontId="5" fillId="2" borderId="0" xfId="0" applyFont="1" applyFill="1" applyBorder="1" applyAlignment="1" applyProtection="1">
      <alignment horizontal="left" vertical="center"/>
      <protection hidden="1"/>
    </xf>
    <xf numFmtId="0" fontId="5" fillId="2" borderId="0" xfId="0" applyFont="1" applyFill="1" applyBorder="1" applyAlignment="1" applyProtection="1">
      <alignment horizontal="right" vertical="center"/>
      <protection hidden="1"/>
    </xf>
    <xf numFmtId="0" fontId="5" fillId="0" borderId="0" xfId="0" applyFont="1" applyFill="1" applyProtection="1">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hidden="1"/>
    </xf>
    <xf numFmtId="0" fontId="5" fillId="0" borderId="0" xfId="0" applyFont="1" applyBorder="1" applyProtection="1">
      <protection hidden="1"/>
    </xf>
    <xf numFmtId="4" fontId="5" fillId="0" borderId="0" xfId="2" applyNumberFormat="1" applyFont="1" applyFill="1" applyBorder="1" applyAlignment="1" applyProtection="1">
      <alignment horizontal="right" vertical="center"/>
      <protection hidden="1"/>
    </xf>
    <xf numFmtId="4" fontId="5" fillId="0" borderId="3" xfId="2" applyNumberFormat="1" applyFont="1" applyFill="1" applyBorder="1" applyAlignment="1" applyProtection="1">
      <alignment horizontal="right" vertical="center"/>
      <protection hidden="1"/>
    </xf>
    <xf numFmtId="4" fontId="6" fillId="3" borderId="4" xfId="2" applyNumberFormat="1" applyFont="1" applyFill="1" applyBorder="1" applyAlignment="1" applyProtection="1">
      <alignment horizontal="right" vertical="center"/>
      <protection hidden="1"/>
    </xf>
    <xf numFmtId="4" fontId="6" fillId="0" borderId="0" xfId="2" applyNumberFormat="1" applyFont="1" applyFill="1" applyBorder="1" applyAlignment="1" applyProtection="1">
      <alignment horizontal="right" vertical="center"/>
      <protection hidden="1"/>
    </xf>
    <xf numFmtId="4" fontId="5" fillId="0" borderId="0" xfId="2" applyNumberFormat="1" applyFont="1" applyBorder="1" applyAlignment="1" applyProtection="1">
      <alignment horizontal="right" vertical="center"/>
      <protection hidden="1"/>
    </xf>
    <xf numFmtId="4" fontId="5" fillId="0" borderId="3" xfId="2" applyNumberFormat="1" applyFont="1" applyBorder="1" applyAlignment="1" applyProtection="1">
      <alignment horizontal="right" vertical="center"/>
      <protection hidden="1"/>
    </xf>
    <xf numFmtId="4" fontId="5" fillId="0" borderId="5" xfId="2" applyNumberFormat="1" applyFont="1" applyBorder="1" applyAlignment="1" applyProtection="1">
      <alignment horizontal="right" vertical="center"/>
      <protection hidden="1"/>
    </xf>
    <xf numFmtId="4" fontId="6" fillId="0" borderId="4" xfId="2" applyNumberFormat="1" applyFont="1" applyBorder="1" applyAlignment="1" applyProtection="1">
      <alignment horizontal="right" vertical="center"/>
      <protection hidden="1"/>
    </xf>
    <xf numFmtId="4" fontId="6" fillId="0" borderId="0" xfId="2" applyNumberFormat="1" applyFont="1" applyBorder="1" applyAlignment="1" applyProtection="1">
      <alignment horizontal="right" vertical="center"/>
      <protection hidden="1"/>
    </xf>
    <xf numFmtId="4" fontId="5" fillId="0" borderId="1" xfId="2" applyNumberFormat="1" applyFont="1" applyBorder="1" applyAlignment="1" applyProtection="1">
      <alignment horizontal="right" vertical="center"/>
      <protection hidden="1"/>
    </xf>
    <xf numFmtId="4" fontId="9" fillId="0" borderId="1" xfId="2" applyNumberFormat="1" applyFont="1" applyBorder="1" applyAlignment="1" applyProtection="1">
      <alignment horizontal="right" vertical="center"/>
      <protection hidden="1"/>
    </xf>
    <xf numFmtId="4" fontId="7" fillId="0" borderId="3" xfId="2" applyNumberFormat="1" applyFont="1" applyBorder="1" applyAlignment="1" applyProtection="1">
      <alignment horizontal="right" vertical="center"/>
      <protection hidden="1"/>
    </xf>
    <xf numFmtId="4" fontId="7" fillId="0" borderId="0" xfId="2" applyNumberFormat="1" applyFont="1" applyBorder="1" applyAlignment="1" applyProtection="1">
      <alignment horizontal="right" vertical="center"/>
      <protection hidden="1"/>
    </xf>
    <xf numFmtId="4" fontId="7" fillId="0" borderId="0" xfId="2" applyNumberFormat="1" applyFont="1" applyFill="1" applyBorder="1" applyAlignment="1" applyProtection="1">
      <alignment horizontal="right" vertical="center"/>
      <protection hidden="1"/>
    </xf>
    <xf numFmtId="4" fontId="9" fillId="0" borderId="3" xfId="2" applyNumberFormat="1" applyFont="1" applyBorder="1" applyAlignment="1" applyProtection="1">
      <alignment horizontal="right" vertical="center"/>
      <protection hidden="1"/>
    </xf>
    <xf numFmtId="4" fontId="9" fillId="0" borderId="0" xfId="2" applyNumberFormat="1" applyFont="1" applyBorder="1" applyAlignment="1" applyProtection="1">
      <alignment horizontal="right" vertical="center"/>
      <protection hidden="1"/>
    </xf>
    <xf numFmtId="4" fontId="6" fillId="0" borderId="6" xfId="2" applyNumberFormat="1" applyFont="1" applyBorder="1" applyAlignment="1" applyProtection="1">
      <alignment horizontal="right" vertical="center"/>
      <protection hidden="1"/>
    </xf>
    <xf numFmtId="4" fontId="10" fillId="0" borderId="0" xfId="2" applyNumberFormat="1" applyFont="1" applyFill="1" applyBorder="1" applyAlignment="1" applyProtection="1">
      <alignment horizontal="right" vertical="center"/>
      <protection hidden="1"/>
    </xf>
    <xf numFmtId="4" fontId="5" fillId="4" borderId="0" xfId="2" applyNumberFormat="1" applyFont="1" applyFill="1" applyBorder="1" applyAlignment="1" applyProtection="1">
      <alignment horizontal="right" vertical="center"/>
      <protection locked="0" hidden="1"/>
    </xf>
    <xf numFmtId="4" fontId="5" fillId="4" borderId="3" xfId="2" applyNumberFormat="1" applyFont="1" applyFill="1" applyBorder="1" applyAlignment="1" applyProtection="1">
      <alignment horizontal="right" vertical="center"/>
      <protection locked="0" hidden="1"/>
    </xf>
    <xf numFmtId="4" fontId="10" fillId="4" borderId="7" xfId="2" applyNumberFormat="1" applyFont="1" applyFill="1" applyBorder="1" applyAlignment="1" applyProtection="1">
      <alignment horizontal="right" vertical="center"/>
      <protection locked="0" hidden="1"/>
    </xf>
    <xf numFmtId="49" fontId="15" fillId="0" borderId="0" xfId="0" applyNumberFormat="1" applyFont="1" applyBorder="1" applyAlignment="1" applyProtection="1">
      <alignment horizontal="left" vertical="center"/>
      <protection hidden="1"/>
    </xf>
    <xf numFmtId="0" fontId="5" fillId="0" borderId="0" xfId="0" applyFont="1" applyFill="1" applyAlignment="1" applyProtection="1">
      <alignment vertical="center"/>
      <protection hidden="1"/>
    </xf>
    <xf numFmtId="4" fontId="5" fillId="0" borderId="0" xfId="0" applyNumberFormat="1" applyFont="1" applyProtection="1">
      <protection hidden="1"/>
    </xf>
    <xf numFmtId="0" fontId="9" fillId="0" borderId="8" xfId="0" applyFont="1" applyBorder="1" applyAlignment="1" applyProtection="1">
      <alignment horizontal="center" vertical="center" wrapText="1"/>
      <protection hidden="1"/>
    </xf>
    <xf numFmtId="4" fontId="7" fillId="0" borderId="1" xfId="2" applyNumberFormat="1" applyFont="1" applyBorder="1" applyAlignment="1" applyProtection="1">
      <alignment horizontal="right" vertical="center"/>
      <protection hidden="1"/>
    </xf>
    <xf numFmtId="4" fontId="5" fillId="0" borderId="6" xfId="2" applyNumberFormat="1" applyFont="1" applyFill="1" applyBorder="1" applyAlignment="1" applyProtection="1">
      <alignment horizontal="right" vertical="center"/>
      <protection hidden="1"/>
    </xf>
    <xf numFmtId="4" fontId="5" fillId="0" borderId="0" xfId="2" applyNumberFormat="1" applyFont="1" applyFill="1" applyBorder="1" applyAlignment="1" applyProtection="1">
      <alignment horizontal="right" vertical="center"/>
      <protection locked="0" hidden="1"/>
    </xf>
    <xf numFmtId="4" fontId="9" fillId="0" borderId="0" xfId="2" applyNumberFormat="1" applyFont="1" applyFill="1" applyBorder="1" applyAlignment="1" applyProtection="1">
      <alignment horizontal="right" vertical="center"/>
      <protection hidden="1"/>
    </xf>
    <xf numFmtId="4" fontId="14" fillId="0" borderId="0" xfId="2" applyNumberFormat="1" applyFont="1" applyFill="1" applyBorder="1" applyAlignment="1" applyProtection="1">
      <alignment horizontal="right" vertical="center"/>
      <protection hidden="1"/>
    </xf>
    <xf numFmtId="4" fontId="14" fillId="5" borderId="9" xfId="2" applyNumberFormat="1" applyFont="1" applyFill="1" applyBorder="1" applyAlignment="1" applyProtection="1">
      <alignment horizontal="right" vertical="center"/>
      <protection hidden="1"/>
    </xf>
    <xf numFmtId="0" fontId="5" fillId="0" borderId="3" xfId="0" applyFont="1" applyBorder="1" applyAlignment="1" applyProtection="1">
      <alignment horizontal="left" vertical="center"/>
      <protection hidden="1"/>
    </xf>
    <xf numFmtId="0" fontId="5" fillId="0" borderId="10" xfId="0" applyFont="1" applyBorder="1" applyAlignment="1" applyProtection="1">
      <alignment horizontal="left" vertical="center"/>
      <protection hidden="1"/>
    </xf>
    <xf numFmtId="0" fontId="5" fillId="0" borderId="11" xfId="0" applyFont="1" applyBorder="1" applyAlignment="1" applyProtection="1">
      <alignment horizontal="left" vertical="center"/>
      <protection hidden="1"/>
    </xf>
    <xf numFmtId="0" fontId="6" fillId="0" borderId="12" xfId="0" applyFont="1" applyBorder="1" applyAlignment="1" applyProtection="1">
      <alignment horizontal="left" vertical="center"/>
      <protection hidden="1"/>
    </xf>
    <xf numFmtId="0" fontId="6" fillId="0" borderId="13" xfId="0" applyFont="1" applyBorder="1" applyAlignment="1" applyProtection="1">
      <alignment horizontal="center" vertical="center"/>
      <protection hidden="1"/>
    </xf>
    <xf numFmtId="0" fontId="6" fillId="0" borderId="13"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49" fontId="5" fillId="0" borderId="0" xfId="0" applyNumberFormat="1" applyFont="1" applyAlignment="1" applyProtection="1">
      <alignment vertical="center"/>
      <protection hidden="1"/>
    </xf>
    <xf numFmtId="0" fontId="5" fillId="2" borderId="14"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6" fillId="0" borderId="14" xfId="0" applyFont="1" applyBorder="1" applyAlignment="1" applyProtection="1">
      <alignment horizontal="left" vertical="center"/>
      <protection hidden="1"/>
    </xf>
    <xf numFmtId="164" fontId="5" fillId="0" borderId="0" xfId="0" applyNumberFormat="1" applyFont="1" applyFill="1" applyBorder="1" applyAlignment="1" applyProtection="1">
      <alignment vertical="center"/>
      <protection hidden="1"/>
    </xf>
    <xf numFmtId="164" fontId="5" fillId="0" borderId="0" xfId="0" applyNumberFormat="1" applyFont="1" applyFill="1" applyBorder="1" applyAlignment="1" applyProtection="1">
      <alignment vertical="center"/>
      <protection locked="0" hidden="1"/>
    </xf>
    <xf numFmtId="0" fontId="5" fillId="4" borderId="3" xfId="0" applyFont="1" applyFill="1" applyBorder="1" applyAlignment="1" applyProtection="1">
      <alignment vertical="center"/>
      <protection locked="0" hidden="1"/>
    </xf>
    <xf numFmtId="0" fontId="5" fillId="0" borderId="0" xfId="0" applyFont="1" applyBorder="1" applyAlignment="1" applyProtection="1">
      <alignment vertical="center"/>
      <protection hidden="1"/>
    </xf>
    <xf numFmtId="0" fontId="6" fillId="3" borderId="15" xfId="0" applyFont="1" applyFill="1" applyBorder="1" applyAlignment="1" applyProtection="1">
      <alignment horizontal="left" vertical="center"/>
      <protection hidden="1"/>
    </xf>
    <xf numFmtId="0" fontId="5"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horizontal="right" vertical="center"/>
      <protection hidden="1"/>
    </xf>
    <xf numFmtId="4" fontId="6" fillId="0" borderId="0" xfId="0" applyNumberFormat="1" applyFont="1" applyFill="1" applyBorder="1" applyAlignment="1" applyProtection="1">
      <alignment horizontal="right" vertical="center"/>
      <protection hidden="1"/>
    </xf>
    <xf numFmtId="2" fontId="5" fillId="0" borderId="0" xfId="0" applyNumberFormat="1" applyFont="1" applyBorder="1" applyAlignment="1" applyProtection="1">
      <alignment vertical="center"/>
      <protection hidden="1"/>
    </xf>
    <xf numFmtId="2" fontId="5" fillId="0" borderId="0" xfId="0" applyNumberFormat="1" applyFont="1" applyFill="1" applyBorder="1" applyAlignment="1" applyProtection="1">
      <alignment vertical="center"/>
      <protection hidden="1"/>
    </xf>
    <xf numFmtId="2" fontId="5" fillId="0" borderId="0" xfId="0" applyNumberFormat="1" applyFont="1" applyAlignment="1" applyProtection="1">
      <alignment vertical="center"/>
      <protection hidden="1"/>
    </xf>
    <xf numFmtId="2" fontId="5" fillId="0" borderId="3" xfId="0" applyNumberFormat="1" applyFont="1" applyBorder="1" applyAlignment="1" applyProtection="1">
      <alignment vertical="center"/>
      <protection hidden="1"/>
    </xf>
    <xf numFmtId="4" fontId="5" fillId="0" borderId="0" xfId="0" applyNumberFormat="1" applyFont="1" applyFill="1" applyBorder="1" applyAlignment="1" applyProtection="1">
      <alignment horizontal="right" vertical="center"/>
      <protection hidden="1"/>
    </xf>
    <xf numFmtId="4" fontId="5" fillId="0" borderId="3" xfId="0" applyNumberFormat="1" applyFont="1" applyFill="1" applyBorder="1" applyAlignment="1" applyProtection="1">
      <alignment horizontal="right" vertical="center"/>
      <protection hidden="1"/>
    </xf>
    <xf numFmtId="0" fontId="5" fillId="0" borderId="16" xfId="0" applyFont="1" applyBorder="1" applyAlignment="1" applyProtection="1">
      <alignment horizontal="left" vertical="center"/>
      <protection hidden="1"/>
    </xf>
    <xf numFmtId="0" fontId="5" fillId="0" borderId="5" xfId="0" applyFont="1" applyBorder="1" applyAlignment="1" applyProtection="1">
      <alignment horizontal="left" vertical="center"/>
      <protection hidden="1"/>
    </xf>
    <xf numFmtId="2" fontId="5" fillId="0" borderId="5" xfId="0" applyNumberFormat="1" applyFont="1" applyBorder="1" applyAlignment="1" applyProtection="1">
      <alignment vertical="center"/>
      <protection hidden="1"/>
    </xf>
    <xf numFmtId="0" fontId="6" fillId="0" borderId="15" xfId="0" applyFont="1" applyBorder="1" applyAlignment="1" applyProtection="1">
      <alignment horizontal="left" vertical="center"/>
      <protection hidden="1"/>
    </xf>
    <xf numFmtId="0" fontId="6" fillId="0" borderId="4" xfId="0" applyFont="1" applyBorder="1" applyAlignment="1" applyProtection="1">
      <alignment horizontal="left" vertical="center"/>
      <protection hidden="1"/>
    </xf>
    <xf numFmtId="4" fontId="6" fillId="0" borderId="4" xfId="0" applyNumberFormat="1" applyFont="1" applyBorder="1" applyAlignment="1" applyProtection="1">
      <alignment vertical="center"/>
      <protection hidden="1"/>
    </xf>
    <xf numFmtId="4" fontId="6" fillId="0" borderId="0" xfId="0" applyNumberFormat="1" applyFont="1" applyFill="1" applyBorder="1" applyAlignment="1" applyProtection="1">
      <alignment vertical="center"/>
      <protection hidden="1"/>
    </xf>
    <xf numFmtId="0" fontId="6"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vertical="center"/>
      <protection hidden="1"/>
    </xf>
    <xf numFmtId="4" fontId="5" fillId="0" borderId="17" xfId="0" applyNumberFormat="1" applyFont="1" applyBorder="1" applyAlignment="1" applyProtection="1">
      <alignment vertical="center"/>
      <protection hidden="1"/>
    </xf>
    <xf numFmtId="4" fontId="5" fillId="0" borderId="0" xfId="0" applyNumberFormat="1" applyFont="1" applyFill="1" applyBorder="1" applyAlignment="1" applyProtection="1">
      <alignment vertical="center"/>
      <protection hidden="1"/>
    </xf>
    <xf numFmtId="0" fontId="8" fillId="0" borderId="14" xfId="0" applyFont="1" applyBorder="1" applyAlignment="1" applyProtection="1">
      <alignment horizontal="left" vertical="center"/>
      <protection hidden="1"/>
    </xf>
    <xf numFmtId="0" fontId="5" fillId="0" borderId="18" xfId="0" applyFont="1" applyBorder="1" applyAlignment="1" applyProtection="1">
      <alignment horizontal="left" vertical="center"/>
      <protection hidden="1"/>
    </xf>
    <xf numFmtId="0" fontId="5" fillId="0" borderId="19" xfId="0" applyFont="1" applyBorder="1" applyAlignment="1" applyProtection="1">
      <alignment horizontal="left" vertical="center"/>
      <protection hidden="1"/>
    </xf>
    <xf numFmtId="0" fontId="5" fillId="0" borderId="20" xfId="0" applyFont="1" applyBorder="1" applyAlignment="1" applyProtection="1">
      <alignment horizontal="left" vertical="center"/>
      <protection hidden="1"/>
    </xf>
    <xf numFmtId="2" fontId="9" fillId="0" borderId="1" xfId="0" applyNumberFormat="1" applyFont="1" applyBorder="1" applyAlignment="1" applyProtection="1">
      <alignment vertical="center"/>
      <protection hidden="1"/>
    </xf>
    <xf numFmtId="2" fontId="9" fillId="0" borderId="0" xfId="0" applyNumberFormat="1" applyFont="1" applyFill="1" applyBorder="1" applyAlignment="1" applyProtection="1">
      <alignment vertical="center"/>
      <protection hidden="1"/>
    </xf>
    <xf numFmtId="4" fontId="5" fillId="0" borderId="0" xfId="0" applyNumberFormat="1" applyFont="1" applyBorder="1" applyAlignment="1" applyProtection="1">
      <alignment vertical="center"/>
      <protection hidden="1"/>
    </xf>
    <xf numFmtId="2" fontId="9" fillId="0" borderId="3" xfId="0" applyNumberFormat="1"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0" xfId="0" applyFont="1" applyFill="1" applyBorder="1" applyAlignment="1" applyProtection="1">
      <alignment vertical="center"/>
      <protection hidden="1"/>
    </xf>
    <xf numFmtId="0" fontId="6" fillId="0" borderId="10" xfId="0" applyFont="1" applyBorder="1" applyAlignment="1" applyProtection="1">
      <alignment horizontal="left" vertical="center"/>
      <protection hidden="1"/>
    </xf>
    <xf numFmtId="2" fontId="5" fillId="0" borderId="3" xfId="0" applyNumberFormat="1" applyFont="1" applyBorder="1" applyAlignment="1" applyProtection="1">
      <alignment horizontal="left" vertical="center"/>
      <protection hidden="1"/>
    </xf>
    <xf numFmtId="2" fontId="5" fillId="0" borderId="0" xfId="0" applyNumberFormat="1" applyFont="1" applyBorder="1" applyAlignment="1" applyProtection="1">
      <alignment horizontal="left" vertical="center"/>
      <protection hidden="1"/>
    </xf>
    <xf numFmtId="2" fontId="5" fillId="0" borderId="1" xfId="0" applyNumberFormat="1" applyFont="1" applyBorder="1" applyAlignment="1" applyProtection="1">
      <alignment horizontal="left" vertical="center"/>
      <protection hidden="1"/>
    </xf>
    <xf numFmtId="0" fontId="5" fillId="0" borderId="6" xfId="0" applyFont="1" applyBorder="1" applyAlignment="1" applyProtection="1">
      <alignment horizontal="left" vertical="center"/>
      <protection hidden="1"/>
    </xf>
    <xf numFmtId="2" fontId="5" fillId="0" borderId="6" xfId="0" applyNumberFormat="1" applyFont="1" applyBorder="1" applyAlignment="1" applyProtection="1">
      <alignment horizontal="left" vertical="center"/>
      <protection hidden="1"/>
    </xf>
    <xf numFmtId="0" fontId="5" fillId="0" borderId="6" xfId="0" applyFont="1" applyBorder="1" applyAlignment="1" applyProtection="1">
      <alignment vertical="center"/>
      <protection hidden="1"/>
    </xf>
    <xf numFmtId="2" fontId="6" fillId="0" borderId="21" xfId="0" applyNumberFormat="1" applyFont="1" applyBorder="1" applyAlignment="1" applyProtection="1">
      <alignment horizontal="right" vertical="center"/>
      <protection hidden="1"/>
    </xf>
    <xf numFmtId="0" fontId="6" fillId="0" borderId="22" xfId="0" applyFont="1" applyBorder="1" applyAlignment="1" applyProtection="1">
      <alignment horizontal="left" vertical="center"/>
      <protection hidden="1"/>
    </xf>
    <xf numFmtId="2" fontId="6" fillId="0" borderId="6" xfId="0" applyNumberFormat="1" applyFont="1" applyBorder="1" applyAlignment="1" applyProtection="1">
      <alignment horizontal="right" vertical="center"/>
      <protection hidden="1"/>
    </xf>
    <xf numFmtId="0" fontId="6" fillId="3" borderId="23" xfId="0" applyFont="1" applyFill="1" applyBorder="1" applyAlignment="1" applyProtection="1">
      <alignment horizontal="left" vertical="center"/>
      <protection hidden="1"/>
    </xf>
    <xf numFmtId="0" fontId="6" fillId="3" borderId="24" xfId="0" applyFont="1" applyFill="1" applyBorder="1" applyAlignment="1" applyProtection="1">
      <alignment horizontal="left" vertical="center"/>
      <protection hidden="1"/>
    </xf>
    <xf numFmtId="2" fontId="6" fillId="3" borderId="4" xfId="0" applyNumberFormat="1" applyFont="1" applyFill="1" applyBorder="1" applyAlignment="1" applyProtection="1">
      <alignment vertical="center"/>
      <protection hidden="1"/>
    </xf>
    <xf numFmtId="2" fontId="6" fillId="0" borderId="0" xfId="0" applyNumberFormat="1" applyFont="1" applyFill="1" applyBorder="1" applyAlignment="1" applyProtection="1">
      <alignment vertical="center"/>
      <protection hidden="1"/>
    </xf>
    <xf numFmtId="2" fontId="6" fillId="0" borderId="0" xfId="0" applyNumberFormat="1" applyFont="1" applyBorder="1" applyAlignment="1" applyProtection="1">
      <alignment vertical="center"/>
      <protection hidden="1"/>
    </xf>
    <xf numFmtId="0" fontId="5" fillId="0" borderId="22" xfId="0" applyFont="1" applyBorder="1" applyAlignment="1" applyProtection="1">
      <alignment horizontal="left" vertical="center"/>
      <protection hidden="1"/>
    </xf>
    <xf numFmtId="2" fontId="7" fillId="0" borderId="1" xfId="0" applyNumberFormat="1" applyFont="1" applyBorder="1" applyAlignment="1" applyProtection="1">
      <alignment vertical="center"/>
      <protection hidden="1"/>
    </xf>
    <xf numFmtId="2" fontId="7" fillId="0" borderId="0" xfId="0" applyNumberFormat="1" applyFont="1" applyFill="1" applyBorder="1" applyAlignment="1" applyProtection="1">
      <alignment vertical="center"/>
      <protection hidden="1"/>
    </xf>
    <xf numFmtId="0" fontId="14" fillId="5" borderId="25" xfId="0" applyFont="1" applyFill="1" applyBorder="1" applyAlignment="1" applyProtection="1">
      <alignment horizontal="left" vertical="center"/>
      <protection hidden="1"/>
    </xf>
    <xf numFmtId="0" fontId="14" fillId="5" borderId="9" xfId="0" applyFont="1" applyFill="1" applyBorder="1" applyAlignment="1" applyProtection="1">
      <alignment horizontal="left" vertical="center"/>
      <protection hidden="1"/>
    </xf>
    <xf numFmtId="0" fontId="6" fillId="0" borderId="0" xfId="0" applyFont="1" applyBorder="1" applyAlignment="1" applyProtection="1">
      <alignment vertical="center"/>
      <protection hidden="1"/>
    </xf>
    <xf numFmtId="14" fontId="5" fillId="0" borderId="0" xfId="0" applyNumberFormat="1" applyFont="1" applyAlignment="1" applyProtection="1">
      <alignment vertical="center"/>
      <protection hidden="1"/>
    </xf>
    <xf numFmtId="0" fontId="5" fillId="0" borderId="0" xfId="0" applyFont="1" applyAlignment="1" applyProtection="1">
      <alignment horizontal="left" vertical="center"/>
      <protection hidden="1"/>
    </xf>
    <xf numFmtId="165" fontId="5" fillId="0" borderId="0" xfId="3" applyNumberFormat="1" applyFont="1" applyAlignment="1" applyProtection="1">
      <alignment horizontal="left" vertical="center"/>
      <protection hidden="1"/>
    </xf>
    <xf numFmtId="2" fontId="5" fillId="0" borderId="0" xfId="3" applyNumberFormat="1" applyFont="1" applyAlignment="1" applyProtection="1">
      <alignment horizontal="left" vertical="center"/>
      <protection hidden="1"/>
    </xf>
    <xf numFmtId="4" fontId="5" fillId="0" borderId="0" xfId="0" applyNumberFormat="1" applyFont="1" applyAlignment="1" applyProtection="1">
      <alignment horizontal="left"/>
      <protection hidden="1"/>
    </xf>
    <xf numFmtId="4" fontId="5" fillId="7" borderId="3" xfId="2" applyNumberFormat="1" applyFont="1" applyFill="1" applyBorder="1" applyAlignment="1" applyProtection="1">
      <alignment horizontal="right" vertical="center"/>
      <protection hidden="1"/>
    </xf>
    <xf numFmtId="4" fontId="6" fillId="0" borderId="0" xfId="0" applyNumberFormat="1" applyFont="1" applyBorder="1" applyAlignment="1" applyProtection="1">
      <alignment vertical="center"/>
      <protection hidden="1"/>
    </xf>
    <xf numFmtId="0" fontId="17" fillId="0" borderId="0" xfId="0" applyFont="1"/>
    <xf numFmtId="0" fontId="5" fillId="0" borderId="48" xfId="0" applyFont="1" applyFill="1" applyBorder="1" applyAlignment="1" applyProtection="1">
      <alignment horizontal="left" vertical="center"/>
      <protection hidden="1"/>
    </xf>
    <xf numFmtId="0" fontId="6" fillId="0" borderId="49" xfId="0" applyFont="1" applyBorder="1" applyAlignment="1" applyProtection="1">
      <alignment horizontal="left" vertical="center"/>
      <protection hidden="1"/>
    </xf>
    <xf numFmtId="0" fontId="5" fillId="0" borderId="50" xfId="0" applyFont="1" applyFill="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6" borderId="0" xfId="0" applyFont="1" applyFill="1" applyBorder="1" applyAlignment="1" applyProtection="1">
      <alignment horizontal="center" vertical="center"/>
      <protection locked="0" hidden="1"/>
    </xf>
    <xf numFmtId="0" fontId="5" fillId="6" borderId="49" xfId="0" applyFont="1" applyFill="1" applyBorder="1" applyAlignment="1" applyProtection="1">
      <alignment horizontal="center" vertical="center"/>
      <protection locked="0" hidden="1"/>
    </xf>
    <xf numFmtId="0" fontId="5" fillId="0" borderId="51" xfId="0" applyFont="1" applyBorder="1" applyAlignment="1" applyProtection="1">
      <alignment horizontal="left" vertical="center"/>
      <protection hidden="1"/>
    </xf>
    <xf numFmtId="0" fontId="5" fillId="0" borderId="52" xfId="0" applyFont="1" applyBorder="1" applyAlignment="1" applyProtection="1">
      <alignment horizontal="left" vertical="center"/>
      <protection hidden="1"/>
    </xf>
    <xf numFmtId="49" fontId="5" fillId="0" borderId="52" xfId="0" applyNumberFormat="1" applyFont="1" applyBorder="1" applyAlignment="1" applyProtection="1">
      <alignment horizontal="right" vertical="center"/>
      <protection hidden="1"/>
    </xf>
    <xf numFmtId="0" fontId="5" fillId="0" borderId="52" xfId="0" applyFont="1" applyBorder="1" applyAlignment="1" applyProtection="1">
      <alignment vertical="center"/>
      <protection hidden="1"/>
    </xf>
    <xf numFmtId="0" fontId="5" fillId="0" borderId="53" xfId="0" applyFont="1" applyBorder="1" applyAlignment="1" applyProtection="1">
      <alignment horizontal="left" vertical="center"/>
      <protection hidden="1"/>
    </xf>
    <xf numFmtId="0" fontId="5" fillId="0" borderId="54" xfId="0" applyFont="1" applyBorder="1" applyAlignment="1" applyProtection="1">
      <alignment horizontal="left" vertical="center"/>
      <protection hidden="1"/>
    </xf>
    <xf numFmtId="4" fontId="5" fillId="0" borderId="54" xfId="2" applyNumberFormat="1" applyFont="1" applyFill="1" applyBorder="1" applyAlignment="1" applyProtection="1">
      <alignment horizontal="right" vertical="center"/>
      <protection hidden="1"/>
    </xf>
    <xf numFmtId="4" fontId="5" fillId="4" borderId="54" xfId="2" applyNumberFormat="1" applyFont="1" applyFill="1" applyBorder="1" applyAlignment="1" applyProtection="1">
      <alignment horizontal="right" vertical="center"/>
      <protection locked="0" hidden="1"/>
    </xf>
    <xf numFmtId="0" fontId="17" fillId="0" borderId="0" xfId="0" applyFont="1" applyProtection="1">
      <protection hidden="1"/>
    </xf>
    <xf numFmtId="0" fontId="6" fillId="0" borderId="55" xfId="0" applyFont="1" applyBorder="1" applyAlignment="1" applyProtection="1">
      <alignment horizontal="left" vertical="center"/>
      <protection hidden="1"/>
    </xf>
    <xf numFmtId="0" fontId="5" fillId="0" borderId="56" xfId="0" applyFont="1" applyBorder="1" applyProtection="1">
      <protection hidden="1"/>
    </xf>
    <xf numFmtId="0" fontId="5" fillId="0" borderId="57" xfId="0" applyFont="1" applyFill="1" applyBorder="1" applyAlignment="1" applyProtection="1">
      <alignment horizontal="center" vertical="center" wrapText="1"/>
      <protection hidden="1"/>
    </xf>
    <xf numFmtId="0" fontId="6" fillId="0" borderId="58" xfId="0" applyFont="1" applyBorder="1" applyAlignment="1" applyProtection="1">
      <alignment horizontal="left" vertical="center"/>
      <protection hidden="1"/>
    </xf>
    <xf numFmtId="0" fontId="5" fillId="0" borderId="59" xfId="0" applyFont="1" applyBorder="1" applyAlignment="1" applyProtection="1">
      <alignment horizontal="left" vertical="center"/>
      <protection hidden="1"/>
    </xf>
    <xf numFmtId="0" fontId="5" fillId="0" borderId="60" xfId="0" applyFont="1" applyBorder="1" applyAlignment="1" applyProtection="1">
      <alignment horizontal="left" vertical="center"/>
      <protection hidden="1"/>
    </xf>
    <xf numFmtId="0" fontId="5" fillId="0" borderId="61" xfId="0" applyFont="1" applyBorder="1" applyProtection="1">
      <protection hidden="1"/>
    </xf>
    <xf numFmtId="0" fontId="5" fillId="0" borderId="62" xfId="0" applyFont="1" applyBorder="1" applyAlignment="1" applyProtection="1">
      <alignment horizontal="left" vertical="center"/>
      <protection hidden="1"/>
    </xf>
    <xf numFmtId="4" fontId="5" fillId="0" borderId="63" xfId="2" applyNumberFormat="1" applyFont="1" applyFill="1" applyBorder="1" applyAlignment="1" applyProtection="1">
      <alignment horizontal="right" vertical="center"/>
      <protection hidden="1"/>
    </xf>
    <xf numFmtId="0" fontId="5" fillId="0" borderId="55" xfId="0" applyFont="1" applyBorder="1" applyProtection="1">
      <protection hidden="1"/>
    </xf>
    <xf numFmtId="4" fontId="6" fillId="0" borderId="61" xfId="2" applyNumberFormat="1" applyFont="1" applyBorder="1" applyAlignment="1" applyProtection="1">
      <alignment horizontal="right" vertical="center"/>
      <protection hidden="1"/>
    </xf>
    <xf numFmtId="4" fontId="9" fillId="0" borderId="61" xfId="2" applyNumberFormat="1" applyFont="1" applyBorder="1" applyAlignment="1" applyProtection="1">
      <alignment horizontal="right" vertical="center"/>
      <protection hidden="1"/>
    </xf>
    <xf numFmtId="2" fontId="9" fillId="0" borderId="61" xfId="0" applyNumberFormat="1" applyFont="1" applyBorder="1" applyAlignment="1" applyProtection="1">
      <alignment vertical="center"/>
      <protection hidden="1"/>
    </xf>
    <xf numFmtId="2" fontId="5" fillId="0" borderId="60" xfId="0" applyNumberFormat="1" applyFont="1" applyBorder="1" applyAlignment="1" applyProtection="1">
      <alignment horizontal="left" vertical="center"/>
      <protection hidden="1"/>
    </xf>
    <xf numFmtId="4" fontId="6" fillId="0" borderId="64" xfId="2" applyNumberFormat="1" applyFont="1" applyBorder="1" applyAlignment="1" applyProtection="1">
      <alignment horizontal="right" vertical="center"/>
      <protection hidden="1"/>
    </xf>
    <xf numFmtId="4" fontId="7" fillId="0" borderId="65" xfId="2" applyNumberFormat="1" applyFont="1" applyBorder="1" applyAlignment="1" applyProtection="1">
      <alignment horizontal="right" vertical="center"/>
      <protection hidden="1"/>
    </xf>
    <xf numFmtId="0" fontId="6" fillId="0" borderId="60" xfId="0" applyFont="1" applyBorder="1" applyAlignment="1" applyProtection="1">
      <alignment horizontal="left" vertical="center"/>
      <protection hidden="1"/>
    </xf>
    <xf numFmtId="4" fontId="0" fillId="0" borderId="0" xfId="0" applyNumberFormat="1"/>
    <xf numFmtId="0" fontId="34" fillId="0" borderId="0" xfId="0" applyFont="1" applyFill="1" applyBorder="1" applyAlignment="1" applyProtection="1">
      <alignment horizontal="center" vertical="center"/>
      <protection locked="0" hidden="1"/>
    </xf>
    <xf numFmtId="0" fontId="34" fillId="0" borderId="0" xfId="0" applyFont="1" applyBorder="1" applyAlignment="1" applyProtection="1">
      <alignment horizontal="center" vertical="center"/>
      <protection hidden="1"/>
    </xf>
    <xf numFmtId="49" fontId="34" fillId="0" borderId="0" xfId="0" applyNumberFormat="1" applyFont="1" applyBorder="1" applyAlignment="1" applyProtection="1">
      <alignment horizontal="center" vertical="center"/>
      <protection hidden="1"/>
    </xf>
    <xf numFmtId="0" fontId="34" fillId="0" borderId="0" xfId="0" applyFont="1" applyProtection="1">
      <protection hidden="1"/>
    </xf>
    <xf numFmtId="2" fontId="9" fillId="0" borderId="66" xfId="0" applyNumberFormat="1" applyFont="1" applyBorder="1" applyProtection="1">
      <protection hidden="1"/>
    </xf>
    <xf numFmtId="0" fontId="7" fillId="0" borderId="0" xfId="0" applyFont="1" applyAlignment="1" applyProtection="1">
      <alignment horizontal="left" vertical="center"/>
      <protection hidden="1"/>
    </xf>
    <xf numFmtId="165" fontId="7" fillId="0" borderId="0" xfId="3" applyNumberFormat="1" applyFont="1" applyAlignment="1" applyProtection="1">
      <alignment horizontal="left" vertical="center"/>
      <protection hidden="1"/>
    </xf>
    <xf numFmtId="0" fontId="35" fillId="0" borderId="0" xfId="0" applyFont="1"/>
    <xf numFmtId="0" fontId="6" fillId="0" borderId="67" xfId="0" applyFont="1" applyBorder="1" applyAlignment="1" applyProtection="1">
      <alignment horizontal="left" vertical="center"/>
      <protection hidden="1"/>
    </xf>
    <xf numFmtId="0" fontId="5" fillId="0" borderId="59" xfId="0" applyFont="1" applyBorder="1" applyProtection="1">
      <protection hidden="1"/>
    </xf>
    <xf numFmtId="10" fontId="5" fillId="0" borderId="0" xfId="0" applyNumberFormat="1" applyFont="1" applyProtection="1">
      <protection hidden="1"/>
    </xf>
    <xf numFmtId="2" fontId="5" fillId="0" borderId="0" xfId="0" applyNumberFormat="1" applyFont="1" applyProtection="1">
      <protection hidden="1"/>
    </xf>
    <xf numFmtId="0" fontId="5" fillId="0" borderId="67"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4" fontId="5" fillId="0" borderId="63" xfId="2" applyNumberFormat="1" applyFont="1" applyBorder="1" applyAlignment="1" applyProtection="1">
      <alignment horizontal="center" vertical="center"/>
      <protection hidden="1"/>
    </xf>
    <xf numFmtId="0" fontId="6" fillId="0" borderId="0" xfId="0" applyFont="1" applyFill="1" applyAlignment="1" applyProtection="1">
      <alignment vertical="center"/>
      <protection hidden="1"/>
    </xf>
    <xf numFmtId="0" fontId="6" fillId="8" borderId="68" xfId="0" applyFont="1" applyFill="1" applyBorder="1" applyAlignment="1" applyProtection="1">
      <alignment horizontal="left" vertical="center"/>
      <protection hidden="1"/>
    </xf>
    <xf numFmtId="0" fontId="6" fillId="8" borderId="69" xfId="0" applyFont="1" applyFill="1" applyBorder="1" applyAlignment="1" applyProtection="1">
      <alignment horizontal="left" vertical="center"/>
      <protection hidden="1"/>
    </xf>
    <xf numFmtId="0" fontId="6" fillId="8" borderId="70" xfId="0" applyFont="1" applyFill="1" applyBorder="1" applyAlignment="1" applyProtection="1">
      <alignment horizontal="center" vertical="center"/>
      <protection hidden="1"/>
    </xf>
    <xf numFmtId="0" fontId="5" fillId="0" borderId="71" xfId="0" applyFont="1" applyBorder="1" applyAlignment="1" applyProtection="1">
      <alignment horizontal="left" vertical="center"/>
      <protection hidden="1"/>
    </xf>
    <xf numFmtId="0" fontId="5" fillId="0" borderId="72" xfId="0" applyFont="1" applyFill="1" applyBorder="1" applyAlignment="1" applyProtection="1">
      <alignment horizontal="left" vertical="center"/>
      <protection hidden="1"/>
    </xf>
    <xf numFmtId="0" fontId="5" fillId="0" borderId="73" xfId="0" applyFont="1" applyFill="1" applyBorder="1" applyAlignment="1" applyProtection="1">
      <alignment horizontal="left" vertical="center"/>
      <protection hidden="1"/>
    </xf>
    <xf numFmtId="0" fontId="5" fillId="0" borderId="74" xfId="0" applyFont="1" applyFill="1" applyBorder="1" applyAlignment="1" applyProtection="1">
      <alignment horizontal="left" vertical="center"/>
      <protection hidden="1"/>
    </xf>
    <xf numFmtId="0" fontId="5" fillId="0" borderId="75" xfId="0" applyFont="1" applyFill="1" applyBorder="1" applyAlignment="1" applyProtection="1">
      <alignment horizontal="left" vertical="center"/>
      <protection hidden="1"/>
    </xf>
    <xf numFmtId="0" fontId="6" fillId="0" borderId="76" xfId="0" applyFont="1" applyBorder="1" applyAlignment="1" applyProtection="1">
      <alignment horizontal="left" vertical="center"/>
      <protection hidden="1"/>
    </xf>
    <xf numFmtId="0" fontId="5" fillId="0" borderId="72" xfId="0" applyFont="1" applyBorder="1" applyAlignment="1" applyProtection="1">
      <alignment horizontal="left" vertical="center"/>
      <protection hidden="1"/>
    </xf>
    <xf numFmtId="0" fontId="5" fillId="0" borderId="77" xfId="0" applyFont="1" applyBorder="1" applyAlignment="1" applyProtection="1">
      <alignment horizontal="left" vertical="center"/>
      <protection hidden="1"/>
    </xf>
    <xf numFmtId="0" fontId="5" fillId="0" borderId="78" xfId="0" applyFont="1" applyBorder="1" applyAlignment="1" applyProtection="1">
      <alignment horizontal="left" vertical="center"/>
      <protection hidden="1"/>
    </xf>
    <xf numFmtId="0" fontId="5" fillId="0" borderId="72" xfId="0" applyFont="1" applyBorder="1" applyProtection="1">
      <protection hidden="1"/>
    </xf>
    <xf numFmtId="0" fontId="6" fillId="0" borderId="72" xfId="0" applyFont="1" applyBorder="1" applyAlignment="1" applyProtection="1">
      <alignment horizontal="left" vertical="center"/>
      <protection hidden="1"/>
    </xf>
    <xf numFmtId="0" fontId="8" fillId="0" borderId="72" xfId="0" applyFont="1" applyBorder="1" applyAlignment="1" applyProtection="1">
      <alignment horizontal="left" vertical="center"/>
      <protection hidden="1"/>
    </xf>
    <xf numFmtId="0" fontId="7" fillId="0" borderId="72" xfId="0" applyFont="1" applyBorder="1" applyProtection="1">
      <protection hidden="1"/>
    </xf>
    <xf numFmtId="0" fontId="7" fillId="0" borderId="0" xfId="0" applyFont="1" applyBorder="1" applyProtection="1">
      <protection hidden="1"/>
    </xf>
    <xf numFmtId="4" fontId="7" fillId="0" borderId="0" xfId="0" applyNumberFormat="1" applyFont="1" applyBorder="1" applyAlignment="1" applyProtection="1">
      <alignment horizontal="center"/>
      <protection hidden="1"/>
    </xf>
    <xf numFmtId="0" fontId="6" fillId="0" borderId="77" xfId="0" applyFont="1" applyBorder="1" applyAlignment="1" applyProtection="1">
      <alignment horizontal="left" vertical="center"/>
      <protection hidden="1"/>
    </xf>
    <xf numFmtId="0" fontId="5" fillId="0" borderId="75" xfId="0" applyFont="1" applyBorder="1" applyAlignment="1" applyProtection="1">
      <alignment horizontal="left" vertical="center"/>
      <protection hidden="1"/>
    </xf>
    <xf numFmtId="0" fontId="5" fillId="0" borderId="75" xfId="0" applyFont="1" applyBorder="1" applyProtection="1">
      <protection hidden="1"/>
    </xf>
    <xf numFmtId="0" fontId="5" fillId="0" borderId="79" xfId="0" applyFont="1" applyBorder="1" applyAlignment="1" applyProtection="1">
      <alignment horizontal="left" vertical="center"/>
      <protection hidden="1"/>
    </xf>
    <xf numFmtId="0" fontId="24" fillId="0" borderId="0" xfId="0" applyFont="1" applyAlignment="1" applyProtection="1">
      <alignment vertical="center"/>
      <protection hidden="1"/>
    </xf>
    <xf numFmtId="14" fontId="24" fillId="0" borderId="0" xfId="0" applyNumberFormat="1" applyFont="1" applyAlignment="1" applyProtection="1">
      <alignment vertical="center"/>
      <protection hidden="1"/>
    </xf>
    <xf numFmtId="0" fontId="24" fillId="0" borderId="0" xfId="0" applyFont="1" applyProtection="1">
      <protection hidden="1"/>
    </xf>
    <xf numFmtId="0" fontId="24" fillId="0" borderId="0" xfId="0" applyFont="1" applyAlignment="1" applyProtection="1">
      <alignment horizontal="left" vertical="center"/>
      <protection hidden="1"/>
    </xf>
    <xf numFmtId="2" fontId="24" fillId="0" borderId="0" xfId="3" applyNumberFormat="1" applyFont="1" applyAlignment="1" applyProtection="1">
      <alignment horizontal="left" vertical="center"/>
      <protection hidden="1"/>
    </xf>
    <xf numFmtId="4" fontId="24" fillId="0" borderId="0" xfId="0" applyNumberFormat="1" applyFont="1" applyAlignment="1" applyProtection="1">
      <alignment horizontal="left"/>
      <protection hidden="1"/>
    </xf>
    <xf numFmtId="0" fontId="36" fillId="8" borderId="4" xfId="0" applyFont="1" applyFill="1" applyBorder="1" applyAlignment="1" applyProtection="1">
      <alignment horizontal="left" vertical="center"/>
      <protection hidden="1"/>
    </xf>
    <xf numFmtId="4" fontId="37" fillId="8" borderId="80" xfId="2" applyNumberFormat="1" applyFont="1" applyFill="1" applyBorder="1" applyAlignment="1" applyProtection="1">
      <alignment horizontal="center" vertical="center"/>
      <protection hidden="1"/>
    </xf>
    <xf numFmtId="0" fontId="37" fillId="8" borderId="81" xfId="0" applyFont="1" applyFill="1" applyBorder="1" applyAlignment="1" applyProtection="1">
      <alignment horizontal="left" vertical="center"/>
      <protection hidden="1"/>
    </xf>
    <xf numFmtId="0" fontId="38" fillId="8" borderId="4" xfId="0" applyFont="1" applyFill="1" applyBorder="1" applyAlignment="1" applyProtection="1">
      <alignment horizontal="left" vertical="center"/>
      <protection hidden="1"/>
    </xf>
    <xf numFmtId="0" fontId="6" fillId="8" borderId="81" xfId="0" applyFont="1" applyFill="1" applyBorder="1" applyAlignment="1" applyProtection="1">
      <alignment horizontal="left" vertical="center"/>
      <protection hidden="1"/>
    </xf>
    <xf numFmtId="0" fontId="6" fillId="8" borderId="4" xfId="0" applyFont="1" applyFill="1" applyBorder="1" applyAlignment="1" applyProtection="1">
      <alignment horizontal="left" vertical="center"/>
      <protection hidden="1"/>
    </xf>
    <xf numFmtId="4" fontId="6" fillId="8" borderId="80" xfId="2" applyNumberFormat="1" applyFont="1" applyFill="1" applyBorder="1" applyAlignment="1" applyProtection="1">
      <alignment horizontal="center" vertical="center"/>
      <protection hidden="1"/>
    </xf>
    <xf numFmtId="0" fontId="5" fillId="8" borderId="4" xfId="0" applyFont="1" applyFill="1" applyBorder="1" applyAlignment="1" applyProtection="1">
      <alignment horizontal="left" vertical="center"/>
      <protection hidden="1"/>
    </xf>
    <xf numFmtId="0" fontId="14" fillId="8" borderId="82" xfId="0" applyFont="1" applyFill="1" applyBorder="1" applyAlignment="1" applyProtection="1">
      <alignment horizontal="left" vertical="center"/>
      <protection hidden="1"/>
    </xf>
    <xf numFmtId="0" fontId="14" fillId="8" borderId="83" xfId="0" applyFont="1" applyFill="1" applyBorder="1" applyAlignment="1" applyProtection="1">
      <alignment horizontal="left" vertical="center"/>
      <protection hidden="1"/>
    </xf>
    <xf numFmtId="4" fontId="14" fillId="8" borderId="84" xfId="2" applyNumberFormat="1" applyFont="1" applyFill="1" applyBorder="1" applyAlignment="1" applyProtection="1">
      <alignment horizontal="center" vertical="center"/>
      <protection hidden="1"/>
    </xf>
    <xf numFmtId="0" fontId="4" fillId="9" borderId="26" xfId="0" applyFont="1" applyFill="1" applyBorder="1"/>
    <xf numFmtId="0" fontId="2" fillId="9" borderId="26" xfId="0" applyFont="1" applyFill="1" applyBorder="1"/>
    <xf numFmtId="0" fontId="2" fillId="9" borderId="26" xfId="0" applyFont="1" applyFill="1" applyBorder="1" applyAlignment="1" applyProtection="1">
      <alignment horizontal="center"/>
    </xf>
    <xf numFmtId="0" fontId="2" fillId="9" borderId="26" xfId="0" applyFont="1" applyFill="1" applyBorder="1" applyProtection="1"/>
    <xf numFmtId="0" fontId="2" fillId="9" borderId="26" xfId="0" applyFont="1" applyFill="1" applyBorder="1" applyAlignment="1">
      <alignment horizontal="center"/>
    </xf>
    <xf numFmtId="0" fontId="4" fillId="9" borderId="27" xfId="0" applyFont="1" applyFill="1" applyBorder="1"/>
    <xf numFmtId="0" fontId="2" fillId="9" borderId="27" xfId="0" applyFont="1" applyFill="1" applyBorder="1" applyProtection="1"/>
    <xf numFmtId="0" fontId="4" fillId="10" borderId="26" xfId="0" applyFont="1" applyFill="1" applyBorder="1"/>
    <xf numFmtId="0" fontId="2" fillId="10" borderId="26" xfId="0" applyFont="1" applyFill="1" applyBorder="1" applyProtection="1"/>
    <xf numFmtId="2" fontId="2" fillId="10" borderId="26" xfId="0" applyNumberFormat="1" applyFont="1" applyFill="1" applyBorder="1" applyAlignment="1">
      <alignment horizontal="center"/>
    </xf>
    <xf numFmtId="0" fontId="2" fillId="10" borderId="26" xfId="0" applyFont="1" applyFill="1" applyBorder="1" applyAlignment="1">
      <alignment horizontal="right"/>
    </xf>
    <xf numFmtId="0" fontId="4" fillId="10" borderId="27" xfId="0" applyFont="1" applyFill="1" applyBorder="1"/>
    <xf numFmtId="0" fontId="2" fillId="10" borderId="27" xfId="0" applyFont="1" applyFill="1" applyBorder="1" applyProtection="1"/>
    <xf numFmtId="0" fontId="2" fillId="9" borderId="28" xfId="0" applyFont="1" applyFill="1" applyBorder="1" applyProtection="1"/>
    <xf numFmtId="0" fontId="4" fillId="9" borderId="28" xfId="0" applyFont="1" applyFill="1" applyBorder="1"/>
    <xf numFmtId="0" fontId="3" fillId="9" borderId="26" xfId="0" applyFont="1" applyFill="1" applyBorder="1" applyProtection="1"/>
    <xf numFmtId="0" fontId="4" fillId="10" borderId="28" xfId="0" applyFont="1" applyFill="1" applyBorder="1"/>
    <xf numFmtId="0" fontId="3" fillId="10" borderId="26" xfId="0" applyFont="1" applyFill="1" applyBorder="1" applyAlignment="1">
      <alignment horizontal="center"/>
    </xf>
    <xf numFmtId="164" fontId="2" fillId="10" borderId="26" xfId="2" applyFont="1" applyFill="1" applyBorder="1" applyAlignment="1" applyProtection="1">
      <alignment horizontal="center"/>
    </xf>
    <xf numFmtId="10" fontId="2" fillId="10" borderId="26" xfId="0" applyNumberFormat="1" applyFont="1" applyFill="1" applyBorder="1" applyAlignment="1">
      <alignment horizontal="center"/>
    </xf>
    <xf numFmtId="10" fontId="2" fillId="10" borderId="26" xfId="4" applyNumberFormat="1" applyFont="1" applyFill="1" applyBorder="1" applyAlignment="1" applyProtection="1">
      <alignment horizontal="center"/>
    </xf>
    <xf numFmtId="10" fontId="2" fillId="10" borderId="26" xfId="4" applyNumberFormat="1" applyFont="1" applyFill="1" applyBorder="1" applyProtection="1"/>
    <xf numFmtId="164" fontId="2" fillId="10" borderId="26" xfId="2" applyFont="1" applyFill="1" applyBorder="1" applyProtection="1"/>
    <xf numFmtId="164" fontId="2" fillId="10" borderId="27" xfId="2" applyFont="1" applyFill="1" applyBorder="1" applyProtection="1"/>
    <xf numFmtId="164" fontId="2" fillId="9" borderId="28" xfId="2" applyFont="1" applyFill="1" applyBorder="1" applyProtection="1"/>
    <xf numFmtId="0" fontId="4" fillId="9" borderId="29" xfId="0" applyFont="1" applyFill="1" applyBorder="1"/>
    <xf numFmtId="0" fontId="3" fillId="9" borderId="26" xfId="0" applyFont="1" applyFill="1" applyBorder="1" applyAlignment="1">
      <alignment horizontal="center" vertical="center"/>
    </xf>
    <xf numFmtId="0" fontId="2" fillId="9" borderId="26" xfId="0" applyFont="1" applyFill="1" applyBorder="1" applyAlignment="1">
      <alignment horizontal="center" vertical="center"/>
    </xf>
    <xf numFmtId="0" fontId="2" fillId="9" borderId="26" xfId="0" applyFont="1" applyFill="1" applyBorder="1" applyAlignment="1">
      <alignment horizontal="center" vertical="center" wrapText="1"/>
    </xf>
    <xf numFmtId="0" fontId="4" fillId="9" borderId="0" xfId="0" applyFont="1" applyFill="1"/>
    <xf numFmtId="0" fontId="2" fillId="9" borderId="0" xfId="0" applyFont="1" applyFill="1" applyBorder="1" applyAlignment="1">
      <alignment horizontal="center" vertical="center" wrapText="1"/>
    </xf>
    <xf numFmtId="14" fontId="2" fillId="9" borderId="0" xfId="0" applyNumberFormat="1" applyFont="1" applyFill="1"/>
    <xf numFmtId="0" fontId="2" fillId="9" borderId="0" xfId="0" applyFont="1" applyFill="1" applyBorder="1" applyAlignment="1">
      <alignment horizontal="center"/>
    </xf>
    <xf numFmtId="0" fontId="4" fillId="11" borderId="26" xfId="0" applyFont="1" applyFill="1" applyBorder="1"/>
    <xf numFmtId="0" fontId="3" fillId="11" borderId="26" xfId="0" applyFont="1" applyFill="1" applyBorder="1"/>
    <xf numFmtId="0" fontId="2" fillId="11" borderId="26" xfId="0" applyFont="1" applyFill="1" applyBorder="1"/>
    <xf numFmtId="14" fontId="2" fillId="11" borderId="26" xfId="0" applyNumberFormat="1" applyFont="1" applyFill="1" applyBorder="1" applyAlignment="1" applyProtection="1">
      <alignment horizontal="left"/>
    </xf>
    <xf numFmtId="0" fontId="2" fillId="11" borderId="26" xfId="0" applyFont="1" applyFill="1" applyBorder="1" applyAlignment="1" applyProtection="1">
      <alignment horizontal="center"/>
    </xf>
    <xf numFmtId="0" fontId="2" fillId="11" borderId="26" xfId="0" applyFont="1" applyFill="1" applyBorder="1" applyAlignment="1" applyProtection="1">
      <alignment horizontal="left"/>
    </xf>
    <xf numFmtId="0" fontId="2" fillId="11" borderId="26" xfId="0" applyFont="1" applyFill="1" applyBorder="1" applyProtection="1"/>
    <xf numFmtId="10" fontId="2" fillId="11" borderId="26" xfId="0" applyNumberFormat="1" applyFont="1" applyFill="1" applyBorder="1" applyProtection="1"/>
    <xf numFmtId="0" fontId="2" fillId="11" borderId="26" xfId="0" applyFont="1" applyFill="1" applyBorder="1" applyAlignment="1">
      <alignment horizontal="left"/>
    </xf>
    <xf numFmtId="2" fontId="2" fillId="11" borderId="26" xfId="0" applyNumberFormat="1" applyFont="1" applyFill="1" applyBorder="1" applyAlignment="1">
      <alignment horizontal="center"/>
    </xf>
    <xf numFmtId="2" fontId="2" fillId="11" borderId="26" xfId="0" applyNumberFormat="1" applyFont="1" applyFill="1" applyBorder="1" applyAlignment="1" applyProtection="1">
      <alignment horizontal="center"/>
    </xf>
    <xf numFmtId="0" fontId="2" fillId="11" borderId="26" xfId="0" applyFont="1" applyFill="1" applyBorder="1" applyAlignment="1" applyProtection="1">
      <alignment horizontal="right"/>
    </xf>
    <xf numFmtId="0" fontId="2" fillId="11" borderId="26" xfId="0" applyFont="1" applyFill="1" applyBorder="1" applyAlignment="1">
      <alignment horizontal="center"/>
    </xf>
    <xf numFmtId="0" fontId="2" fillId="11" borderId="26" xfId="0" applyFont="1" applyFill="1" applyBorder="1" applyAlignment="1">
      <alignment horizontal="right"/>
    </xf>
    <xf numFmtId="3" fontId="2" fillId="11" borderId="26" xfId="0" applyNumberFormat="1" applyFont="1" applyFill="1" applyBorder="1" applyAlignment="1" applyProtection="1">
      <alignment horizontal="center"/>
    </xf>
    <xf numFmtId="3" fontId="2" fillId="11" borderId="26" xfId="0" applyNumberFormat="1" applyFont="1" applyFill="1" applyBorder="1" applyAlignment="1">
      <alignment horizontal="center"/>
    </xf>
    <xf numFmtId="3" fontId="2" fillId="11" borderId="27" xfId="0" applyNumberFormat="1" applyFont="1" applyFill="1" applyBorder="1" applyAlignment="1" applyProtection="1">
      <alignment horizontal="center"/>
    </xf>
    <xf numFmtId="3" fontId="2" fillId="11" borderId="27" xfId="0" applyNumberFormat="1" applyFont="1" applyFill="1" applyBorder="1" applyAlignment="1">
      <alignment horizontal="center"/>
    </xf>
    <xf numFmtId="0" fontId="36" fillId="12" borderId="85" xfId="0" applyFont="1" applyFill="1" applyBorder="1" applyAlignment="1" applyProtection="1">
      <alignment horizontal="center" vertical="center"/>
      <protection locked="0" hidden="1"/>
    </xf>
    <xf numFmtId="0" fontId="36" fillId="12" borderId="86" xfId="0" applyFont="1" applyFill="1" applyBorder="1" applyAlignment="1" applyProtection="1">
      <alignment horizontal="center" vertical="center"/>
      <protection locked="0" hidden="1"/>
    </xf>
    <xf numFmtId="3" fontId="36" fillId="12" borderId="86" xfId="0" applyNumberFormat="1" applyFont="1" applyFill="1" applyBorder="1" applyAlignment="1" applyProtection="1">
      <alignment horizontal="center" vertical="center"/>
      <protection locked="0" hidden="1"/>
    </xf>
    <xf numFmtId="4" fontId="36" fillId="12" borderId="65" xfId="2" applyNumberFormat="1" applyFont="1" applyFill="1" applyBorder="1" applyAlignment="1" applyProtection="1">
      <alignment horizontal="right" vertical="center"/>
      <protection locked="0" hidden="1"/>
    </xf>
    <xf numFmtId="4" fontId="36" fillId="0" borderId="61" xfId="2" applyNumberFormat="1" applyFont="1" applyFill="1" applyBorder="1" applyAlignment="1" applyProtection="1">
      <alignment horizontal="right" vertical="center"/>
      <protection hidden="1"/>
    </xf>
    <xf numFmtId="4" fontId="36" fillId="12" borderId="61" xfId="2" applyNumberFormat="1" applyFont="1" applyFill="1" applyBorder="1" applyAlignment="1" applyProtection="1">
      <alignment horizontal="right" vertical="center"/>
      <protection locked="0" hidden="1"/>
    </xf>
    <xf numFmtId="4" fontId="36" fillId="12" borderId="64" xfId="2" applyNumberFormat="1" applyFont="1" applyFill="1" applyBorder="1" applyAlignment="1" applyProtection="1">
      <alignment horizontal="right" vertical="center"/>
      <protection locked="0" hidden="1"/>
    </xf>
    <xf numFmtId="4" fontId="36" fillId="12" borderId="87" xfId="2" applyNumberFormat="1" applyFont="1" applyFill="1" applyBorder="1" applyAlignment="1" applyProtection="1">
      <alignment horizontal="right" vertical="center"/>
      <protection locked="0" hidden="1"/>
    </xf>
    <xf numFmtId="14" fontId="29" fillId="11" borderId="30" xfId="0" applyNumberFormat="1" applyFont="1" applyFill="1" applyBorder="1"/>
    <xf numFmtId="0" fontId="4" fillId="11" borderId="30" xfId="0" applyFont="1" applyFill="1" applyBorder="1"/>
    <xf numFmtId="0" fontId="4" fillId="9" borderId="31" xfId="0" applyFont="1" applyFill="1" applyBorder="1"/>
    <xf numFmtId="0" fontId="4" fillId="9" borderId="30" xfId="0" applyFont="1" applyFill="1" applyBorder="1"/>
    <xf numFmtId="0" fontId="4" fillId="9" borderId="32" xfId="0" applyFont="1" applyFill="1" applyBorder="1"/>
    <xf numFmtId="0" fontId="4" fillId="10" borderId="31" xfId="0" applyFont="1" applyFill="1" applyBorder="1"/>
    <xf numFmtId="0" fontId="4" fillId="10" borderId="30" xfId="0" applyFont="1" applyFill="1" applyBorder="1"/>
    <xf numFmtId="0" fontId="4" fillId="10" borderId="32" xfId="0" applyFont="1" applyFill="1" applyBorder="1"/>
    <xf numFmtId="0" fontId="4" fillId="9" borderId="33" xfId="0" applyFont="1" applyFill="1" applyBorder="1"/>
    <xf numFmtId="0" fontId="4" fillId="9" borderId="34" xfId="0" applyFont="1" applyFill="1" applyBorder="1"/>
    <xf numFmtId="0" fontId="27" fillId="0" borderId="35" xfId="0" applyFont="1" applyBorder="1"/>
    <xf numFmtId="0" fontId="4" fillId="0" borderId="35" xfId="0" applyFont="1" applyBorder="1"/>
    <xf numFmtId="0" fontId="4" fillId="0" borderId="36" xfId="0" applyFont="1" applyBorder="1"/>
    <xf numFmtId="0" fontId="2" fillId="0" borderId="36" xfId="0" applyFont="1" applyBorder="1" applyAlignment="1">
      <alignment horizontal="center"/>
    </xf>
    <xf numFmtId="0" fontId="4" fillId="0" borderId="37" xfId="0" applyFont="1" applyBorder="1"/>
    <xf numFmtId="0" fontId="29" fillId="11" borderId="26" xfId="0" applyFont="1" applyFill="1" applyBorder="1"/>
    <xf numFmtId="4" fontId="37" fillId="8" borderId="88" xfId="2" applyNumberFormat="1" applyFont="1" applyFill="1" applyBorder="1" applyAlignment="1" applyProtection="1">
      <alignment horizontal="center" vertical="center"/>
      <protection hidden="1"/>
    </xf>
    <xf numFmtId="4" fontId="37" fillId="8" borderId="89" xfId="0" applyNumberFormat="1" applyFont="1" applyFill="1" applyBorder="1" applyAlignment="1" applyProtection="1">
      <alignment horizontal="center" vertical="center"/>
      <protection hidden="1"/>
    </xf>
    <xf numFmtId="0" fontId="4" fillId="9" borderId="26" xfId="0" applyFont="1" applyFill="1" applyBorder="1" applyAlignment="1">
      <alignment horizontal="center" wrapText="1"/>
    </xf>
    <xf numFmtId="0" fontId="5" fillId="0" borderId="72" xfId="0" applyFont="1" applyBorder="1" applyAlignment="1" applyProtection="1">
      <alignment horizontal="left" vertical="center"/>
      <protection hidden="1"/>
    </xf>
    <xf numFmtId="0" fontId="1" fillId="0" borderId="0" xfId="0" applyFont="1"/>
    <xf numFmtId="0" fontId="31" fillId="0" borderId="38" xfId="0" applyFont="1" applyBorder="1" applyAlignment="1" applyProtection="1">
      <alignment horizontal="left" indent="2"/>
      <protection hidden="1"/>
    </xf>
    <xf numFmtId="0" fontId="31" fillId="0" borderId="0" xfId="0" applyFont="1" applyBorder="1" applyAlignment="1" applyProtection="1">
      <alignment horizontal="left" indent="2"/>
      <protection hidden="1"/>
    </xf>
    <xf numFmtId="0" fontId="31" fillId="0" borderId="0" xfId="0" applyFont="1" applyBorder="1" applyProtection="1">
      <protection hidden="1"/>
    </xf>
    <xf numFmtId="165" fontId="31" fillId="0" borderId="39" xfId="2" applyNumberFormat="1" applyFont="1" applyBorder="1" applyProtection="1">
      <protection hidden="1"/>
    </xf>
    <xf numFmtId="10" fontId="31" fillId="0" borderId="38" xfId="2" applyNumberFormat="1" applyFont="1" applyBorder="1" applyAlignment="1" applyProtection="1">
      <alignment horizontal="right"/>
      <protection hidden="1"/>
    </xf>
    <xf numFmtId="164" fontId="31" fillId="0" borderId="39" xfId="2" applyFont="1" applyBorder="1" applyAlignment="1" applyProtection="1">
      <alignment horizontal="right"/>
      <protection hidden="1"/>
    </xf>
    <xf numFmtId="166" fontId="31" fillId="0" borderId="38" xfId="2" applyNumberFormat="1" applyFont="1" applyBorder="1" applyAlignment="1" applyProtection="1">
      <alignment horizontal="right"/>
      <protection hidden="1"/>
    </xf>
    <xf numFmtId="164" fontId="31" fillId="0" borderId="39" xfId="2" applyNumberFormat="1" applyFont="1" applyBorder="1" applyAlignment="1" applyProtection="1">
      <alignment horizontal="right"/>
      <protection hidden="1"/>
    </xf>
    <xf numFmtId="0" fontId="31" fillId="0" borderId="38" xfId="0" applyFont="1" applyBorder="1" applyProtection="1">
      <protection hidden="1"/>
    </xf>
    <xf numFmtId="0" fontId="14" fillId="0" borderId="38" xfId="0" applyFont="1" applyBorder="1" applyAlignment="1" applyProtection="1">
      <alignment horizontal="left" indent="2"/>
      <protection hidden="1"/>
    </xf>
    <xf numFmtId="0" fontId="14" fillId="0" borderId="0" xfId="0" applyFont="1" applyBorder="1" applyAlignment="1" applyProtection="1">
      <alignment horizontal="left" indent="2"/>
      <protection hidden="1"/>
    </xf>
    <xf numFmtId="164" fontId="14" fillId="0" borderId="39" xfId="2" applyNumberFormat="1" applyFont="1" applyBorder="1" applyAlignment="1" applyProtection="1">
      <alignment horizontal="right"/>
      <protection hidden="1"/>
    </xf>
    <xf numFmtId="165" fontId="31" fillId="0" borderId="39" xfId="2" applyNumberFormat="1" applyFont="1" applyBorder="1" applyAlignment="1" applyProtection="1">
      <alignment horizontal="center"/>
      <protection hidden="1"/>
    </xf>
    <xf numFmtId="0" fontId="14" fillId="0" borderId="40" xfId="0" applyFont="1" applyBorder="1" applyAlignment="1" applyProtection="1">
      <alignment horizontal="left" indent="2"/>
      <protection hidden="1"/>
    </xf>
    <xf numFmtId="0" fontId="14" fillId="0" borderId="9" xfId="0" applyFont="1" applyBorder="1" applyAlignment="1" applyProtection="1">
      <alignment horizontal="left" indent="2"/>
      <protection hidden="1"/>
    </xf>
    <xf numFmtId="0" fontId="31" fillId="0" borderId="9" xfId="0" applyFont="1" applyBorder="1" applyProtection="1">
      <protection hidden="1"/>
    </xf>
    <xf numFmtId="165" fontId="31" fillId="0" borderId="41" xfId="2" applyNumberFormat="1" applyFont="1" applyBorder="1" applyProtection="1">
      <protection hidden="1"/>
    </xf>
    <xf numFmtId="10" fontId="31" fillId="0" borderId="40" xfId="2" applyNumberFormat="1" applyFont="1" applyBorder="1" applyAlignment="1" applyProtection="1">
      <alignment horizontal="right"/>
      <protection hidden="1"/>
    </xf>
    <xf numFmtId="164" fontId="14" fillId="0" borderId="41" xfId="2" applyNumberFormat="1" applyFont="1" applyBorder="1" applyAlignment="1" applyProtection="1">
      <alignment horizontal="right"/>
      <protection hidden="1"/>
    </xf>
    <xf numFmtId="0" fontId="31" fillId="0" borderId="42" xfId="0" applyFont="1" applyBorder="1" applyAlignment="1" applyProtection="1">
      <alignment horizontal="left" indent="2"/>
      <protection hidden="1"/>
    </xf>
    <xf numFmtId="0" fontId="31" fillId="0" borderId="43" xfId="0" applyFont="1" applyBorder="1" applyAlignment="1" applyProtection="1">
      <alignment horizontal="left" indent="2"/>
      <protection hidden="1"/>
    </xf>
    <xf numFmtId="0" fontId="31" fillId="0" borderId="43" xfId="0" applyFont="1" applyBorder="1" applyProtection="1">
      <protection hidden="1"/>
    </xf>
    <xf numFmtId="165" fontId="31" fillId="0" borderId="44" xfId="2" applyNumberFormat="1" applyFont="1" applyBorder="1" applyProtection="1">
      <protection hidden="1"/>
    </xf>
    <xf numFmtId="10" fontId="31" fillId="0" borderId="42" xfId="2" applyNumberFormat="1" applyFont="1" applyBorder="1" applyAlignment="1" applyProtection="1">
      <alignment horizontal="right"/>
      <protection hidden="1"/>
    </xf>
    <xf numFmtId="164" fontId="31" fillId="0" borderId="44" xfId="2" applyFont="1" applyBorder="1" applyAlignment="1" applyProtection="1">
      <alignment horizontal="right"/>
      <protection hidden="1"/>
    </xf>
    <xf numFmtId="166" fontId="31" fillId="0" borderId="42" xfId="2" applyNumberFormat="1" applyFont="1" applyBorder="1" applyAlignment="1" applyProtection="1">
      <alignment horizontal="right"/>
      <protection hidden="1"/>
    </xf>
    <xf numFmtId="164" fontId="31" fillId="0" borderId="44" xfId="2" applyNumberFormat="1" applyFont="1" applyBorder="1" applyAlignment="1" applyProtection="1">
      <alignment horizontal="right"/>
      <protection hidden="1"/>
    </xf>
    <xf numFmtId="164" fontId="31" fillId="0" borderId="39" xfId="2" applyNumberFormat="1" applyFont="1" applyBorder="1" applyAlignment="1" applyProtection="1">
      <alignment horizontal="center"/>
      <protection hidden="1"/>
    </xf>
    <xf numFmtId="164" fontId="31" fillId="0" borderId="44" xfId="2" applyNumberFormat="1" applyFont="1" applyBorder="1" applyAlignment="1" applyProtection="1">
      <alignment horizontal="center"/>
      <protection hidden="1"/>
    </xf>
    <xf numFmtId="164" fontId="14" fillId="0" borderId="41" xfId="2" applyNumberFormat="1" applyFont="1" applyBorder="1" applyAlignment="1" applyProtection="1">
      <alignment horizontal="center"/>
      <protection hidden="1"/>
    </xf>
    <xf numFmtId="164" fontId="5" fillId="0" borderId="0" xfId="0" applyNumberFormat="1" applyFont="1" applyProtection="1">
      <protection hidden="1"/>
    </xf>
    <xf numFmtId="0" fontId="1" fillId="0" borderId="0" xfId="0" applyFont="1" applyAlignment="1"/>
    <xf numFmtId="0" fontId="0" fillId="0" borderId="0" xfId="0" applyAlignment="1"/>
    <xf numFmtId="49" fontId="5" fillId="0" borderId="0" xfId="0" applyNumberFormat="1" applyFont="1" applyFill="1" applyAlignment="1" applyProtection="1">
      <alignment horizontal="right" vertical="center"/>
      <protection hidden="1"/>
    </xf>
    <xf numFmtId="49" fontId="5" fillId="0" borderId="0" xfId="0" applyNumberFormat="1" applyFont="1" applyFill="1" applyAlignment="1" applyProtection="1">
      <alignment vertical="center"/>
      <protection hidden="1"/>
    </xf>
    <xf numFmtId="49" fontId="34" fillId="0" borderId="0" xfId="0" applyNumberFormat="1" applyFont="1" applyFill="1" applyBorder="1" applyAlignment="1" applyProtection="1">
      <alignment horizontal="center" vertical="center"/>
      <protection hidden="1"/>
    </xf>
    <xf numFmtId="0" fontId="24" fillId="0" borderId="0" xfId="0" applyFont="1" applyFill="1" applyProtection="1">
      <protection hidden="1"/>
    </xf>
    <xf numFmtId="0" fontId="6" fillId="0" borderId="0" xfId="0" applyFont="1" applyFill="1" applyAlignment="1" applyProtection="1">
      <alignment horizontal="center" vertical="center"/>
      <protection hidden="1"/>
    </xf>
    <xf numFmtId="49" fontId="5" fillId="0" borderId="0" xfId="0" applyNumberFormat="1" applyFont="1" applyFill="1" applyBorder="1" applyAlignment="1" applyProtection="1">
      <alignment horizontal="left" vertical="center"/>
      <protection hidden="1"/>
    </xf>
    <xf numFmtId="0" fontId="24" fillId="0" borderId="0" xfId="0" applyFont="1" applyFill="1" applyAlignment="1" applyProtection="1">
      <alignment vertical="center"/>
      <protection hidden="1"/>
    </xf>
    <xf numFmtId="0" fontId="5" fillId="0" borderId="90" xfId="0" applyFont="1" applyFill="1" applyBorder="1" applyAlignment="1" applyProtection="1">
      <alignment horizontal="center" vertical="center" wrapText="1"/>
      <protection hidden="1"/>
    </xf>
    <xf numFmtId="4" fontId="5" fillId="0" borderId="91" xfId="2" applyNumberFormat="1" applyFont="1" applyFill="1" applyBorder="1" applyAlignment="1" applyProtection="1">
      <alignment horizontal="right" vertical="center"/>
      <protection hidden="1"/>
    </xf>
    <xf numFmtId="0" fontId="5" fillId="0" borderId="92" xfId="0" applyFont="1" applyFill="1" applyBorder="1" applyAlignment="1" applyProtection="1">
      <alignment horizontal="center" vertical="center" wrapText="1"/>
      <protection hidden="1"/>
    </xf>
    <xf numFmtId="4" fontId="36" fillId="12" borderId="93" xfId="2" applyNumberFormat="1" applyFont="1" applyFill="1" applyBorder="1" applyAlignment="1" applyProtection="1">
      <alignment horizontal="right" vertical="center"/>
      <protection locked="0" hidden="1"/>
    </xf>
    <xf numFmtId="4" fontId="36" fillId="0" borderId="94" xfId="2" applyNumberFormat="1" applyFont="1" applyFill="1" applyBorder="1" applyAlignment="1" applyProtection="1">
      <alignment horizontal="right" vertical="center"/>
      <protection hidden="1"/>
    </xf>
    <xf numFmtId="4" fontId="36" fillId="12" borderId="94" xfId="2" applyNumberFormat="1" applyFont="1" applyFill="1" applyBorder="1" applyAlignment="1" applyProtection="1">
      <alignment horizontal="right" vertical="center"/>
      <protection locked="0" hidden="1"/>
    </xf>
    <xf numFmtId="4" fontId="36" fillId="0" borderId="95" xfId="2" applyNumberFormat="1" applyFont="1" applyFill="1" applyBorder="1" applyAlignment="1" applyProtection="1">
      <alignment horizontal="right" vertical="center"/>
      <protection hidden="1"/>
    </xf>
    <xf numFmtId="4" fontId="37" fillId="8" borderId="96" xfId="2" applyNumberFormat="1" applyFont="1" applyFill="1" applyBorder="1" applyAlignment="1" applyProtection="1">
      <alignment horizontal="center" vertical="center"/>
      <protection hidden="1"/>
    </xf>
    <xf numFmtId="4" fontId="5" fillId="0" borderId="97" xfId="2" applyNumberFormat="1" applyFont="1" applyFill="1" applyBorder="1" applyAlignment="1" applyProtection="1">
      <alignment horizontal="right" vertical="center"/>
      <protection hidden="1"/>
    </xf>
    <xf numFmtId="0" fontId="5" fillId="0" borderId="97" xfId="0" applyFont="1" applyBorder="1" applyProtection="1">
      <protection hidden="1"/>
    </xf>
    <xf numFmtId="4" fontId="6" fillId="0" borderId="97" xfId="2" applyNumberFormat="1" applyFont="1" applyBorder="1" applyAlignment="1" applyProtection="1">
      <alignment horizontal="right" vertical="center"/>
      <protection hidden="1"/>
    </xf>
    <xf numFmtId="4" fontId="38" fillId="8" borderId="98" xfId="2" applyNumberFormat="1" applyFont="1" applyFill="1" applyBorder="1" applyAlignment="1" applyProtection="1">
      <alignment horizontal="center" vertical="center"/>
      <protection hidden="1"/>
    </xf>
    <xf numFmtId="4" fontId="5" fillId="0" borderId="97" xfId="2" applyNumberFormat="1" applyFont="1" applyBorder="1" applyAlignment="1" applyProtection="1">
      <alignment horizontal="center" vertical="center"/>
      <protection hidden="1"/>
    </xf>
    <xf numFmtId="4" fontId="9" fillId="0" borderId="93" xfId="2" applyNumberFormat="1" applyFont="1" applyBorder="1" applyAlignment="1" applyProtection="1">
      <alignment horizontal="right" vertical="center"/>
      <protection hidden="1"/>
    </xf>
    <xf numFmtId="0" fontId="5" fillId="0" borderId="94" xfId="0" applyFont="1" applyBorder="1" applyProtection="1">
      <protection hidden="1"/>
    </xf>
    <xf numFmtId="0" fontId="5" fillId="0" borderId="99" xfId="0" applyFont="1" applyBorder="1" applyProtection="1">
      <protection hidden="1"/>
    </xf>
    <xf numFmtId="2" fontId="9" fillId="0" borderId="94" xfId="0" applyNumberFormat="1" applyFont="1" applyBorder="1" applyAlignment="1" applyProtection="1">
      <alignment vertical="center"/>
      <protection hidden="1"/>
    </xf>
    <xf numFmtId="4" fontId="6" fillId="0" borderId="95" xfId="2" applyNumberFormat="1" applyFont="1" applyBorder="1" applyAlignment="1" applyProtection="1">
      <alignment horizontal="right" vertical="center"/>
      <protection hidden="1"/>
    </xf>
    <xf numFmtId="4" fontId="6" fillId="8" borderId="96" xfId="2" applyNumberFormat="1" applyFont="1" applyFill="1" applyBorder="1" applyAlignment="1" applyProtection="1">
      <alignment horizontal="center" vertical="center"/>
      <protection hidden="1"/>
    </xf>
    <xf numFmtId="4" fontId="36" fillId="12" borderId="100" xfId="2" applyNumberFormat="1" applyFont="1" applyFill="1" applyBorder="1" applyAlignment="1" applyProtection="1">
      <alignment horizontal="right" vertical="center"/>
      <protection locked="0" hidden="1"/>
    </xf>
    <xf numFmtId="4" fontId="7" fillId="0" borderId="93" xfId="2" applyNumberFormat="1" applyFont="1" applyBorder="1" applyAlignment="1" applyProtection="1">
      <alignment horizontal="right" vertical="center"/>
      <protection hidden="1"/>
    </xf>
    <xf numFmtId="4" fontId="14" fillId="8" borderId="101" xfId="2" applyNumberFormat="1" applyFont="1" applyFill="1" applyBorder="1" applyAlignment="1" applyProtection="1">
      <alignment horizontal="center" vertical="center"/>
      <protection hidden="1"/>
    </xf>
    <xf numFmtId="4" fontId="36" fillId="12" borderId="102" xfId="2" applyNumberFormat="1" applyFont="1" applyFill="1" applyBorder="1" applyAlignment="1" applyProtection="1">
      <alignment horizontal="right" vertical="center"/>
      <protection locked="0" hidden="1"/>
    </xf>
    <xf numFmtId="4" fontId="36" fillId="12" borderId="103" xfId="2" applyNumberFormat="1" applyFont="1" applyFill="1" applyBorder="1" applyAlignment="1" applyProtection="1">
      <alignment horizontal="right" vertical="center"/>
      <protection locked="0" hidden="1"/>
    </xf>
    <xf numFmtId="10" fontId="36" fillId="12" borderId="103" xfId="2" applyNumberFormat="1" applyFont="1" applyFill="1" applyBorder="1" applyAlignment="1" applyProtection="1">
      <alignment horizontal="right" vertical="center"/>
      <protection locked="0" hidden="1"/>
    </xf>
    <xf numFmtId="4" fontId="36" fillId="12" borderId="104" xfId="2" applyNumberFormat="1" applyFont="1" applyFill="1" applyBorder="1" applyAlignment="1" applyProtection="1">
      <alignment horizontal="right" vertical="center"/>
      <protection locked="0" hidden="1"/>
    </xf>
    <xf numFmtId="0" fontId="5" fillId="0" borderId="103" xfId="0" applyFont="1" applyBorder="1" applyProtection="1">
      <protection hidden="1"/>
    </xf>
    <xf numFmtId="4" fontId="6" fillId="0" borderId="103" xfId="0" applyNumberFormat="1" applyFont="1" applyBorder="1" applyAlignment="1" applyProtection="1">
      <alignment vertical="center"/>
      <protection hidden="1"/>
    </xf>
    <xf numFmtId="4" fontId="6" fillId="0" borderId="105" xfId="0" applyNumberFormat="1" applyFont="1" applyBorder="1" applyAlignment="1" applyProtection="1">
      <alignment vertical="center"/>
      <protection hidden="1"/>
    </xf>
    <xf numFmtId="4" fontId="5" fillId="0" borderId="104" xfId="0" applyNumberFormat="1" applyFont="1" applyBorder="1" applyAlignment="1" applyProtection="1">
      <alignment horizontal="center" vertical="center"/>
      <protection hidden="1"/>
    </xf>
    <xf numFmtId="4" fontId="6" fillId="0" borderId="103" xfId="2" applyNumberFormat="1" applyFont="1" applyBorder="1" applyAlignment="1" applyProtection="1">
      <alignment horizontal="right" vertical="center"/>
      <protection hidden="1"/>
    </xf>
    <xf numFmtId="2" fontId="9" fillId="0" borderId="103" xfId="0" applyNumberFormat="1" applyFont="1" applyBorder="1" applyAlignment="1" applyProtection="1">
      <alignment vertical="center"/>
      <protection hidden="1"/>
    </xf>
    <xf numFmtId="0" fontId="5" fillId="0" borderId="106" xfId="0" applyFont="1" applyBorder="1" applyProtection="1">
      <protection hidden="1"/>
    </xf>
    <xf numFmtId="0" fontId="5" fillId="0" borderId="91" xfId="0" applyFont="1" applyBorder="1" applyProtection="1">
      <protection hidden="1"/>
    </xf>
    <xf numFmtId="4" fontId="6" fillId="0" borderId="107" xfId="2" applyNumberFormat="1" applyFont="1" applyBorder="1" applyAlignment="1" applyProtection="1">
      <alignment horizontal="right" vertical="center"/>
      <protection hidden="1"/>
    </xf>
    <xf numFmtId="4" fontId="6" fillId="8" borderId="89" xfId="2" applyNumberFormat="1" applyFont="1" applyFill="1" applyBorder="1" applyAlignment="1" applyProtection="1">
      <alignment horizontal="center" vertical="center"/>
      <protection hidden="1"/>
    </xf>
    <xf numFmtId="4" fontId="10" fillId="0" borderId="91" xfId="2" applyNumberFormat="1" applyFont="1" applyFill="1" applyBorder="1" applyAlignment="1" applyProtection="1">
      <alignment horizontal="right" vertical="center"/>
      <protection hidden="1"/>
    </xf>
    <xf numFmtId="2" fontId="6" fillId="8" borderId="89" xfId="0" applyNumberFormat="1" applyFont="1" applyFill="1" applyBorder="1" applyAlignment="1" applyProtection="1">
      <alignment horizontal="center" vertical="center"/>
      <protection hidden="1"/>
    </xf>
    <xf numFmtId="4" fontId="7" fillId="0" borderId="108" xfId="2" applyNumberFormat="1" applyFont="1" applyBorder="1" applyAlignment="1" applyProtection="1">
      <alignment horizontal="right" vertical="center"/>
      <protection hidden="1"/>
    </xf>
    <xf numFmtId="4" fontId="6" fillId="0" borderId="109" xfId="2" applyNumberFormat="1" applyFont="1" applyBorder="1" applyAlignment="1" applyProtection="1">
      <alignment horizontal="right" vertical="center"/>
      <protection hidden="1"/>
    </xf>
    <xf numFmtId="4" fontId="14" fillId="8" borderId="110" xfId="2" applyNumberFormat="1" applyFont="1" applyFill="1" applyBorder="1" applyAlignment="1" applyProtection="1">
      <alignment horizontal="center" vertical="center"/>
      <protection hidden="1"/>
    </xf>
    <xf numFmtId="4" fontId="36" fillId="0" borderId="111" xfId="2" applyNumberFormat="1" applyFont="1" applyFill="1" applyBorder="1" applyAlignment="1" applyProtection="1">
      <alignment horizontal="right" vertical="center"/>
      <protection locked="0" hidden="1"/>
    </xf>
    <xf numFmtId="4" fontId="36" fillId="0" borderId="112" xfId="2" applyNumberFormat="1" applyFont="1" applyFill="1" applyBorder="1" applyAlignment="1" applyProtection="1">
      <alignment horizontal="right" vertical="center"/>
      <protection hidden="1"/>
    </xf>
    <xf numFmtId="4" fontId="36" fillId="0" borderId="112" xfId="2" applyNumberFormat="1" applyFont="1" applyFill="1" applyBorder="1" applyAlignment="1" applyProtection="1">
      <alignment horizontal="right" vertical="center"/>
      <protection locked="0" hidden="1"/>
    </xf>
    <xf numFmtId="4" fontId="36" fillId="0" borderId="113" xfId="2" applyNumberFormat="1" applyFont="1" applyFill="1" applyBorder="1" applyAlignment="1" applyProtection="1">
      <alignment horizontal="right" vertical="center"/>
      <protection hidden="1"/>
    </xf>
    <xf numFmtId="4" fontId="5" fillId="0" borderId="114" xfId="2" applyNumberFormat="1" applyFont="1" applyFill="1" applyBorder="1" applyAlignment="1" applyProtection="1">
      <alignment horizontal="right" vertical="center"/>
      <protection hidden="1"/>
    </xf>
    <xf numFmtId="0" fontId="5" fillId="0" borderId="114" xfId="0" applyFont="1" applyFill="1" applyBorder="1" applyProtection="1">
      <protection hidden="1"/>
    </xf>
    <xf numFmtId="4" fontId="6" fillId="0" borderId="114" xfId="2" applyNumberFormat="1" applyFont="1" applyFill="1" applyBorder="1" applyAlignment="1" applyProtection="1">
      <alignment horizontal="right" vertical="center"/>
      <protection hidden="1"/>
    </xf>
    <xf numFmtId="4" fontId="5" fillId="0" borderId="114" xfId="2" applyNumberFormat="1" applyFont="1" applyFill="1" applyBorder="1" applyAlignment="1" applyProtection="1">
      <alignment horizontal="center" vertical="center"/>
      <protection hidden="1"/>
    </xf>
    <xf numFmtId="4" fontId="9" fillId="0" borderId="111" xfId="2" applyNumberFormat="1" applyFont="1" applyFill="1" applyBorder="1" applyAlignment="1" applyProtection="1">
      <alignment horizontal="right" vertical="center"/>
      <protection hidden="1"/>
    </xf>
    <xf numFmtId="0" fontId="5" fillId="0" borderId="112" xfId="0" applyFont="1" applyFill="1" applyBorder="1" applyProtection="1">
      <protection hidden="1"/>
    </xf>
    <xf numFmtId="2" fontId="9" fillId="0" borderId="112" xfId="0" applyNumberFormat="1" applyFont="1" applyFill="1" applyBorder="1" applyAlignment="1" applyProtection="1">
      <alignment vertical="center"/>
      <protection hidden="1"/>
    </xf>
    <xf numFmtId="4" fontId="36" fillId="0" borderId="114" xfId="2" applyNumberFormat="1" applyFont="1" applyFill="1" applyBorder="1" applyAlignment="1" applyProtection="1">
      <alignment horizontal="right" vertical="center"/>
      <protection locked="0" hidden="1"/>
    </xf>
    <xf numFmtId="164" fontId="5" fillId="0" borderId="115" xfId="0" applyNumberFormat="1" applyFont="1" applyFill="1" applyBorder="1" applyAlignment="1" applyProtection="1">
      <alignment horizontal="right" vertical="center"/>
      <protection locked="0" hidden="1"/>
    </xf>
    <xf numFmtId="0" fontId="36" fillId="12" borderId="116" xfId="0" applyFont="1" applyFill="1" applyBorder="1" applyAlignment="1" applyProtection="1">
      <alignment vertical="center"/>
      <protection hidden="1"/>
    </xf>
    <xf numFmtId="0" fontId="5" fillId="0" borderId="97" xfId="0" applyFont="1" applyBorder="1" applyAlignment="1" applyProtection="1">
      <alignment vertical="center"/>
      <protection hidden="1"/>
    </xf>
    <xf numFmtId="4" fontId="37" fillId="8" borderId="96" xfId="0" applyNumberFormat="1" applyFont="1" applyFill="1" applyBorder="1" applyAlignment="1" applyProtection="1">
      <alignment horizontal="center" vertical="center"/>
      <protection hidden="1"/>
    </xf>
    <xf numFmtId="4" fontId="36" fillId="12" borderId="117" xfId="2" applyNumberFormat="1" applyFont="1" applyFill="1" applyBorder="1" applyAlignment="1" applyProtection="1">
      <alignment horizontal="right" vertical="center"/>
      <protection locked="0" hidden="1"/>
    </xf>
    <xf numFmtId="4" fontId="6" fillId="0" borderId="94" xfId="0" applyNumberFormat="1" applyFont="1" applyBorder="1" applyAlignment="1" applyProtection="1">
      <alignment vertical="center"/>
      <protection hidden="1"/>
    </xf>
    <xf numFmtId="4" fontId="6" fillId="0" borderId="116" xfId="0" applyNumberFormat="1" applyFont="1" applyBorder="1" applyAlignment="1" applyProtection="1">
      <alignment vertical="center"/>
      <protection hidden="1"/>
    </xf>
    <xf numFmtId="4" fontId="5" fillId="0" borderId="117" xfId="0" applyNumberFormat="1" applyFont="1" applyBorder="1" applyAlignment="1" applyProtection="1">
      <alignment horizontal="center" vertical="center"/>
      <protection hidden="1"/>
    </xf>
    <xf numFmtId="0" fontId="5" fillId="0" borderId="94" xfId="0" applyFont="1" applyBorder="1" applyAlignment="1" applyProtection="1">
      <alignment vertical="center"/>
      <protection hidden="1"/>
    </xf>
    <xf numFmtId="0" fontId="5" fillId="0" borderId="118" xfId="0" applyFont="1" applyBorder="1" applyProtection="1">
      <protection hidden="1"/>
    </xf>
    <xf numFmtId="0" fontId="5" fillId="0" borderId="119" xfId="0" applyFont="1" applyBorder="1" applyAlignment="1" applyProtection="1">
      <alignment vertical="center"/>
      <protection hidden="1"/>
    </xf>
    <xf numFmtId="2" fontId="6" fillId="8" borderId="96" xfId="0" applyNumberFormat="1" applyFont="1" applyFill="1" applyBorder="1" applyAlignment="1" applyProtection="1">
      <alignment horizontal="center" vertical="center"/>
      <protection hidden="1"/>
    </xf>
    <xf numFmtId="0" fontId="6" fillId="8" borderId="70" xfId="0" applyFont="1" applyFill="1" applyBorder="1" applyAlignment="1" applyProtection="1">
      <alignment horizontal="center" vertical="center" wrapText="1"/>
      <protection hidden="1"/>
    </xf>
    <xf numFmtId="0" fontId="5" fillId="0" borderId="120" xfId="0" applyFont="1" applyBorder="1" applyAlignment="1" applyProtection="1">
      <alignment horizontal="center" vertical="center" wrapText="1"/>
      <protection hidden="1"/>
    </xf>
    <xf numFmtId="164" fontId="5" fillId="0" borderId="121" xfId="0" applyNumberFormat="1" applyFont="1" applyFill="1" applyBorder="1" applyAlignment="1" applyProtection="1">
      <alignment horizontal="right" vertical="center"/>
      <protection locked="0" hidden="1"/>
    </xf>
    <xf numFmtId="3" fontId="36" fillId="12" borderId="122" xfId="2" applyNumberFormat="1" applyFont="1" applyFill="1" applyBorder="1" applyAlignment="1" applyProtection="1">
      <alignment horizontal="right" vertical="center"/>
      <protection locked="0" hidden="1"/>
    </xf>
    <xf numFmtId="0" fontId="5" fillId="0" borderId="123" xfId="0" applyFont="1" applyFill="1" applyBorder="1" applyAlignment="1" applyProtection="1">
      <alignment vertical="center"/>
      <protection hidden="1"/>
    </xf>
    <xf numFmtId="0" fontId="5" fillId="0" borderId="123" xfId="0" applyFont="1" applyBorder="1" applyAlignment="1" applyProtection="1">
      <alignment vertical="center"/>
      <protection hidden="1"/>
    </xf>
    <xf numFmtId="0" fontId="5" fillId="0" borderId="123" xfId="0" applyFont="1" applyBorder="1" applyProtection="1">
      <protection hidden="1"/>
    </xf>
    <xf numFmtId="4" fontId="5" fillId="0" borderId="123" xfId="0" applyNumberFormat="1" applyFont="1" applyBorder="1" applyAlignment="1" applyProtection="1">
      <alignment vertical="center"/>
      <protection hidden="1"/>
    </xf>
    <xf numFmtId="0" fontId="5" fillId="0" borderId="122" xfId="0" applyFont="1" applyBorder="1" applyProtection="1">
      <protection hidden="1"/>
    </xf>
    <xf numFmtId="2" fontId="6" fillId="0" borderId="124" xfId="0" applyNumberFormat="1" applyFont="1" applyBorder="1" applyAlignment="1" applyProtection="1">
      <alignment horizontal="right" vertical="center"/>
      <protection hidden="1"/>
    </xf>
    <xf numFmtId="2" fontId="6" fillId="8" borderId="125" xfId="0" applyNumberFormat="1" applyFont="1" applyFill="1" applyBorder="1" applyAlignment="1" applyProtection="1">
      <alignment horizontal="center" vertical="center"/>
      <protection hidden="1"/>
    </xf>
    <xf numFmtId="4" fontId="7" fillId="0" borderId="126" xfId="2" applyNumberFormat="1" applyFont="1" applyBorder="1" applyAlignment="1" applyProtection="1">
      <alignment horizontal="right" vertical="center"/>
      <protection hidden="1"/>
    </xf>
    <xf numFmtId="4" fontId="6" fillId="0" borderId="124" xfId="2" applyNumberFormat="1" applyFont="1" applyBorder="1" applyAlignment="1" applyProtection="1">
      <alignment horizontal="right" vertical="center"/>
      <protection hidden="1"/>
    </xf>
    <xf numFmtId="4" fontId="14" fillId="8" borderId="127" xfId="2" applyNumberFormat="1" applyFont="1" applyFill="1" applyBorder="1" applyAlignment="1" applyProtection="1">
      <alignment horizontal="center" vertical="center"/>
      <protection hidden="1"/>
    </xf>
    <xf numFmtId="0" fontId="36" fillId="0" borderId="114" xfId="0" applyFont="1" applyFill="1" applyBorder="1" applyAlignment="1" applyProtection="1">
      <alignment vertical="center"/>
      <protection hidden="1"/>
    </xf>
    <xf numFmtId="0" fontId="5" fillId="0" borderId="114" xfId="0" applyFont="1" applyFill="1" applyBorder="1" applyAlignment="1" applyProtection="1">
      <alignment vertical="center"/>
      <protection hidden="1"/>
    </xf>
    <xf numFmtId="4" fontId="37" fillId="0" borderId="114" xfId="0" applyNumberFormat="1" applyFont="1" applyFill="1" applyBorder="1" applyAlignment="1" applyProtection="1">
      <alignment horizontal="center" vertical="center"/>
      <protection hidden="1"/>
    </xf>
    <xf numFmtId="4" fontId="6" fillId="0" borderId="114" xfId="0" applyNumberFormat="1" applyFont="1" applyFill="1" applyBorder="1" applyAlignment="1" applyProtection="1">
      <alignment vertical="center"/>
      <protection hidden="1"/>
    </xf>
    <xf numFmtId="4" fontId="5" fillId="0" borderId="114" xfId="0" applyNumberFormat="1" applyFont="1" applyFill="1" applyBorder="1" applyAlignment="1" applyProtection="1">
      <alignment horizontal="center" vertical="center"/>
      <protection hidden="1"/>
    </xf>
    <xf numFmtId="2" fontId="9" fillId="0" borderId="114" xfId="0" applyNumberFormat="1" applyFont="1" applyFill="1" applyBorder="1" applyAlignment="1" applyProtection="1">
      <alignment vertical="center"/>
      <protection hidden="1"/>
    </xf>
    <xf numFmtId="0" fontId="5" fillId="0" borderId="114" xfId="0" applyFont="1" applyFill="1" applyBorder="1" applyAlignment="1" applyProtection="1">
      <alignment horizontal="center" vertical="center" wrapText="1"/>
      <protection hidden="1"/>
    </xf>
    <xf numFmtId="4" fontId="37" fillId="0" borderId="114" xfId="2" applyNumberFormat="1" applyFont="1" applyFill="1" applyBorder="1" applyAlignment="1" applyProtection="1">
      <alignment horizontal="center" vertical="center"/>
      <protection hidden="1"/>
    </xf>
    <xf numFmtId="4" fontId="38" fillId="0" borderId="114" xfId="2" applyNumberFormat="1" applyFont="1" applyFill="1" applyBorder="1" applyAlignment="1" applyProtection="1">
      <alignment horizontal="center" vertical="center"/>
      <protection hidden="1"/>
    </xf>
    <xf numFmtId="4" fontId="6" fillId="0" borderId="128" xfId="2" applyNumberFormat="1" applyFont="1" applyFill="1" applyBorder="1" applyAlignment="1" applyProtection="1">
      <alignment horizontal="center" vertical="center"/>
      <protection hidden="1"/>
    </xf>
    <xf numFmtId="4" fontId="6" fillId="0" borderId="114" xfId="2" applyNumberFormat="1" applyFont="1" applyFill="1" applyBorder="1" applyAlignment="1" applyProtection="1">
      <alignment horizontal="center" vertical="center"/>
      <protection hidden="1"/>
    </xf>
    <xf numFmtId="4" fontId="6" fillId="0" borderId="113" xfId="2" applyNumberFormat="1" applyFont="1" applyFill="1" applyBorder="1" applyAlignment="1" applyProtection="1">
      <alignment horizontal="right" vertical="center"/>
      <protection hidden="1"/>
    </xf>
    <xf numFmtId="4" fontId="14" fillId="0" borderId="114" xfId="2" applyNumberFormat="1" applyFont="1" applyFill="1" applyBorder="1" applyAlignment="1" applyProtection="1">
      <alignment horizontal="center" vertical="center"/>
      <protection hidden="1"/>
    </xf>
    <xf numFmtId="2" fontId="6" fillId="0" borderId="128" xfId="0" applyNumberFormat="1" applyFont="1" applyFill="1" applyBorder="1" applyAlignment="1" applyProtection="1">
      <alignment horizontal="center" vertical="center"/>
      <protection hidden="1"/>
    </xf>
    <xf numFmtId="164" fontId="5" fillId="0" borderId="111" xfId="0" applyNumberFormat="1" applyFont="1" applyFill="1" applyBorder="1" applyAlignment="1" applyProtection="1">
      <alignment horizontal="right" vertical="center"/>
      <protection locked="0" hidden="1"/>
    </xf>
    <xf numFmtId="4" fontId="7" fillId="0" borderId="129" xfId="2" applyNumberFormat="1" applyFont="1" applyFill="1" applyBorder="1" applyAlignment="1" applyProtection="1">
      <alignment horizontal="right" vertical="center"/>
      <protection hidden="1"/>
    </xf>
    <xf numFmtId="0" fontId="38" fillId="0" borderId="0" xfId="0" applyFont="1" applyFill="1" applyAlignment="1" applyProtection="1">
      <alignment vertical="center"/>
      <protection hidden="1"/>
    </xf>
    <xf numFmtId="49" fontId="32" fillId="0" borderId="0" xfId="0" applyNumberFormat="1" applyFont="1" applyAlignment="1" applyProtection="1">
      <alignment horizontal="right" vertical="center"/>
      <protection hidden="1"/>
    </xf>
    <xf numFmtId="49" fontId="32" fillId="0" borderId="0" xfId="0" applyNumberFormat="1" applyFont="1" applyAlignment="1" applyProtection="1">
      <alignment horizontal="left" vertical="center"/>
      <protection hidden="1"/>
    </xf>
    <xf numFmtId="166" fontId="31" fillId="13" borderId="38" xfId="2" applyNumberFormat="1" applyFont="1" applyFill="1" applyBorder="1" applyAlignment="1" applyProtection="1">
      <alignment horizontal="right"/>
      <protection hidden="1"/>
    </xf>
    <xf numFmtId="164" fontId="31" fillId="13" borderId="39" xfId="2" applyFont="1" applyFill="1" applyBorder="1" applyAlignment="1" applyProtection="1">
      <alignment horizontal="right"/>
      <protection hidden="1"/>
    </xf>
    <xf numFmtId="166" fontId="31" fillId="0" borderId="38" xfId="2" applyNumberFormat="1" applyFont="1" applyFill="1" applyBorder="1" applyAlignment="1" applyProtection="1">
      <alignment horizontal="right"/>
      <protection hidden="1"/>
    </xf>
    <xf numFmtId="0" fontId="31" fillId="0" borderId="0" xfId="0" applyFont="1" applyFill="1" applyBorder="1" applyAlignment="1" applyProtection="1">
      <alignment horizontal="left" indent="2"/>
      <protection hidden="1"/>
    </xf>
    <xf numFmtId="166" fontId="0" fillId="0" borderId="0" xfId="0" applyNumberFormat="1"/>
    <xf numFmtId="10" fontId="0" fillId="0" borderId="0" xfId="0" applyNumberFormat="1"/>
    <xf numFmtId="0" fontId="33" fillId="14" borderId="45" xfId="0" applyFont="1" applyFill="1" applyBorder="1"/>
    <xf numFmtId="10" fontId="33" fillId="14" borderId="46" xfId="0" applyNumberFormat="1" applyFont="1" applyFill="1" applyBorder="1"/>
    <xf numFmtId="10" fontId="33" fillId="14" borderId="47" xfId="0" applyNumberFormat="1" applyFont="1" applyFill="1" applyBorder="1"/>
    <xf numFmtId="0" fontId="14" fillId="0" borderId="0" xfId="0" applyFont="1" applyFill="1" applyBorder="1" applyAlignment="1" applyProtection="1">
      <alignment horizontal="left" indent="2"/>
      <protection hidden="1"/>
    </xf>
    <xf numFmtId="0" fontId="33" fillId="15" borderId="45" xfId="0" applyFont="1" applyFill="1" applyBorder="1"/>
    <xf numFmtId="10" fontId="33" fillId="15" borderId="46" xfId="0" applyNumberFormat="1" applyFont="1" applyFill="1" applyBorder="1"/>
    <xf numFmtId="10" fontId="33" fillId="15" borderId="47" xfId="0" applyNumberFormat="1" applyFont="1" applyFill="1" applyBorder="1"/>
    <xf numFmtId="0" fontId="36" fillId="0" borderId="123" xfId="0" applyFont="1" applyFill="1" applyBorder="1" applyAlignment="1" applyProtection="1">
      <alignment vertical="center"/>
      <protection hidden="1"/>
    </xf>
    <xf numFmtId="166" fontId="31" fillId="13" borderId="42" xfId="2" applyNumberFormat="1" applyFont="1" applyFill="1" applyBorder="1" applyAlignment="1" applyProtection="1">
      <alignment horizontal="right"/>
      <protection hidden="1"/>
    </xf>
    <xf numFmtId="39" fontId="2" fillId="11" borderId="26" xfId="3" applyNumberFormat="1" applyFont="1" applyFill="1" applyBorder="1" applyAlignment="1" applyProtection="1">
      <alignment horizontal="center"/>
    </xf>
    <xf numFmtId="0" fontId="4" fillId="9" borderId="26" xfId="0" applyFont="1" applyFill="1" applyBorder="1" applyAlignment="1">
      <alignment horizontal="center"/>
    </xf>
    <xf numFmtId="0" fontId="4" fillId="9" borderId="30" xfId="0" applyFont="1" applyFill="1" applyBorder="1" applyAlignment="1">
      <alignment horizontal="center"/>
    </xf>
    <xf numFmtId="0" fontId="2" fillId="10" borderId="26" xfId="0" applyFont="1" applyFill="1" applyBorder="1" applyAlignment="1" applyProtection="1">
      <alignment horizontal="center"/>
    </xf>
    <xf numFmtId="3" fontId="2" fillId="10" borderId="26" xfId="0" applyNumberFormat="1" applyFont="1" applyFill="1" applyBorder="1" applyAlignment="1">
      <alignment horizontal="center"/>
    </xf>
    <xf numFmtId="0" fontId="2" fillId="10" borderId="26" xfId="0" applyFont="1" applyFill="1" applyBorder="1" applyAlignment="1">
      <alignment horizontal="center"/>
    </xf>
    <xf numFmtId="3" fontId="2" fillId="10" borderId="27" xfId="0" applyNumberFormat="1" applyFont="1" applyFill="1" applyBorder="1" applyAlignment="1">
      <alignment horizontal="center"/>
    </xf>
    <xf numFmtId="0" fontId="4" fillId="13" borderId="26" xfId="0" applyFont="1" applyFill="1" applyBorder="1" applyAlignment="1">
      <alignment horizontal="center" vertical="center"/>
    </xf>
    <xf numFmtId="0" fontId="2" fillId="9" borderId="30" xfId="0" applyFont="1" applyFill="1" applyBorder="1" applyProtection="1"/>
    <xf numFmtId="0" fontId="2" fillId="9" borderId="26" xfId="0" applyFont="1" applyFill="1" applyBorder="1" applyAlignment="1" applyProtection="1">
      <alignment horizontal="center"/>
    </xf>
    <xf numFmtId="0" fontId="5" fillId="0" borderId="135" xfId="0" applyFont="1" applyBorder="1" applyAlignment="1" applyProtection="1">
      <alignment horizontal="left" vertical="center" wrapText="1"/>
      <protection hidden="1"/>
    </xf>
    <xf numFmtId="0" fontId="5" fillId="0" borderId="67" xfId="0" applyFont="1" applyBorder="1" applyAlignment="1" applyProtection="1">
      <alignment horizontal="left" vertical="center" wrapText="1"/>
      <protection hidden="1"/>
    </xf>
    <xf numFmtId="4" fontId="36" fillId="12" borderId="136" xfId="2" applyNumberFormat="1" applyFont="1" applyFill="1" applyBorder="1" applyAlignment="1" applyProtection="1">
      <alignment horizontal="right" vertical="center"/>
      <protection locked="0" hidden="1"/>
    </xf>
    <xf numFmtId="4" fontId="36" fillId="12" borderId="116" xfId="2" applyNumberFormat="1" applyFont="1" applyFill="1" applyBorder="1" applyAlignment="1" applyProtection="1">
      <alignment horizontal="right" vertical="center"/>
      <protection locked="0" hidden="1"/>
    </xf>
    <xf numFmtId="4" fontId="36" fillId="0" borderId="113" xfId="2" applyNumberFormat="1" applyFont="1" applyFill="1" applyBorder="1" applyAlignment="1" applyProtection="1">
      <alignment horizontal="right" vertical="center"/>
      <protection locked="0" hidden="1"/>
    </xf>
    <xf numFmtId="0" fontId="14" fillId="0" borderId="0" xfId="0" applyFont="1" applyBorder="1" applyProtection="1">
      <protection hidden="1"/>
    </xf>
    <xf numFmtId="165" fontId="14" fillId="0" borderId="39" xfId="2" applyNumberFormat="1" applyFont="1" applyBorder="1" applyProtection="1">
      <protection hidden="1"/>
    </xf>
    <xf numFmtId="164" fontId="31" fillId="0" borderId="39" xfId="2" applyFont="1" applyFill="1" applyBorder="1" applyAlignment="1" applyProtection="1">
      <alignment horizontal="right"/>
      <protection hidden="1"/>
    </xf>
    <xf numFmtId="166" fontId="14" fillId="0" borderId="38" xfId="2" applyNumberFormat="1" applyFont="1" applyFill="1" applyBorder="1" applyAlignment="1" applyProtection="1">
      <alignment horizontal="right"/>
      <protection hidden="1"/>
    </xf>
    <xf numFmtId="164" fontId="14" fillId="0" borderId="39" xfId="2" applyFont="1" applyFill="1" applyBorder="1" applyAlignment="1" applyProtection="1">
      <alignment horizontal="right"/>
      <protection hidden="1"/>
    </xf>
    <xf numFmtId="14" fontId="30" fillId="7" borderId="0" xfId="0" applyNumberFormat="1" applyFont="1" applyFill="1" applyAlignment="1" applyProtection="1">
      <alignment vertical="center"/>
      <protection hidden="1"/>
    </xf>
    <xf numFmtId="0" fontId="2" fillId="11" borderId="26" xfId="0" applyNumberFormat="1" applyFont="1" applyFill="1" applyBorder="1" applyAlignment="1" applyProtection="1">
      <alignment horizontal="center"/>
    </xf>
    <xf numFmtId="0" fontId="3" fillId="11" borderId="26" xfId="0" applyFont="1" applyFill="1" applyBorder="1" applyAlignment="1">
      <alignment horizontal="center"/>
    </xf>
    <xf numFmtId="0" fontId="3" fillId="10" borderId="26" xfId="0" applyFont="1" applyFill="1" applyBorder="1" applyAlignment="1">
      <alignment horizontal="center"/>
    </xf>
    <xf numFmtId="0" fontId="2" fillId="9" borderId="26" xfId="0" applyFont="1" applyFill="1" applyBorder="1" applyAlignment="1" applyProtection="1">
      <alignment horizontal="center"/>
    </xf>
    <xf numFmtId="0" fontId="18" fillId="0" borderId="0" xfId="1" applyFont="1" applyAlignment="1" applyProtection="1">
      <alignment horizontal="center" wrapText="1"/>
      <protection hidden="1"/>
    </xf>
    <xf numFmtId="0" fontId="5" fillId="0" borderId="130" xfId="0" applyFont="1" applyBorder="1" applyAlignment="1" applyProtection="1">
      <alignment horizontal="left" vertical="center"/>
      <protection hidden="1"/>
    </xf>
    <xf numFmtId="0" fontId="5" fillId="0" borderId="131" xfId="0" applyFont="1" applyBorder="1" applyAlignment="1" applyProtection="1">
      <alignment horizontal="left" vertical="center"/>
      <protection hidden="1"/>
    </xf>
    <xf numFmtId="0" fontId="5" fillId="0" borderId="132" xfId="0" applyFont="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50" xfId="0" applyFont="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0" borderId="8" xfId="0" applyFont="1" applyFill="1" applyBorder="1" applyAlignment="1" applyProtection="1">
      <alignment horizontal="center" vertical="center"/>
      <protection hidden="1"/>
    </xf>
    <xf numFmtId="0" fontId="39" fillId="0" borderId="0" xfId="0" applyFont="1" applyAlignment="1" applyProtection="1">
      <alignment horizontal="left" vertical="center" wrapText="1"/>
      <protection hidden="1"/>
    </xf>
    <xf numFmtId="0" fontId="23" fillId="0" borderId="0" xfId="0" applyFont="1" applyFill="1" applyAlignment="1">
      <alignment horizontal="left"/>
    </xf>
    <xf numFmtId="0" fontId="5" fillId="8" borderId="69" xfId="0" applyFont="1" applyFill="1" applyBorder="1" applyAlignment="1" applyProtection="1">
      <alignment horizontal="center" vertical="center" wrapText="1"/>
      <protection hidden="1"/>
    </xf>
    <xf numFmtId="0" fontId="5" fillId="8" borderId="133" xfId="0" applyFont="1" applyFill="1" applyBorder="1" applyAlignment="1" applyProtection="1">
      <alignment horizontal="center" vertical="center" wrapText="1"/>
      <protection hidden="1"/>
    </xf>
    <xf numFmtId="0" fontId="5" fillId="0" borderId="72"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0" fontId="5" fillId="8" borderId="134" xfId="0" applyFont="1" applyFill="1" applyBorder="1" applyAlignment="1" applyProtection="1">
      <alignment horizontal="center" vertical="center" wrapText="1"/>
      <protection hidden="1"/>
    </xf>
    <xf numFmtId="0" fontId="5" fillId="0" borderId="72" xfId="0" applyFont="1" applyBorder="1" applyAlignment="1" applyProtection="1">
      <alignment horizontal="left" vertical="center" wrapText="1"/>
      <protection hidden="1"/>
    </xf>
    <xf numFmtId="0" fontId="5" fillId="0" borderId="55" xfId="0" applyFont="1" applyBorder="1" applyAlignment="1" applyProtection="1">
      <alignment horizontal="left" vertical="center" wrapText="1"/>
      <protection hidden="1"/>
    </xf>
  </cellXfs>
  <cellStyles count="5">
    <cellStyle name="Lien hypertexte" xfId="1" builtinId="8"/>
    <cellStyle name="Milliers" xfId="2" builtinId="3"/>
    <cellStyle name="Monétaire" xfId="3" builtinId="4"/>
    <cellStyle name="Normal" xfId="0" builtinId="0"/>
    <cellStyle name="Pourcentage"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DBE955"/>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1</xdr:rowOff>
    </xdr:from>
    <xdr:ext cx="4719074" cy="1225826"/>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7712765" y="1"/>
          <a:ext cx="4782559" cy="1225826"/>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fr-FR" sz="850" b="1" u="sng" baseline="0">
              <a:solidFill>
                <a:schemeClr val="bg1"/>
              </a:solidFill>
              <a:latin typeface="Arial" pitchFamily="34" charset="0"/>
              <a:cs typeface="Arial" pitchFamily="34" charset="0"/>
            </a:rPr>
            <a:t>Les cases en bleu sont modifiables </a:t>
          </a:r>
        </a:p>
        <a:p>
          <a:endParaRPr lang="fr-FR" sz="850" b="1" u="sng"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850" b="1" u="none" baseline="0">
              <a:solidFill>
                <a:schemeClr val="bg1"/>
              </a:solidFill>
              <a:latin typeface="Arial" pitchFamily="34" charset="0"/>
              <a:cs typeface="Arial" pitchFamily="34" charset="0"/>
            </a:rPr>
            <a:t>IMPORTANT !</a:t>
          </a:r>
          <a:endParaRPr lang="fr-FR" sz="850" b="1" u="dbl" baseline="0">
            <a:solidFill>
              <a:schemeClr val="bg1"/>
            </a:solidFill>
            <a:latin typeface="Arial" pitchFamily="34" charset="0"/>
            <a:cs typeface="Arial" pitchFamily="34" charset="0"/>
          </a:endParaRPr>
        </a:p>
        <a:p>
          <a:r>
            <a:rPr lang="fr-FR" sz="850" b="1" baseline="0">
              <a:solidFill>
                <a:schemeClr val="bg1"/>
              </a:solidFill>
              <a:latin typeface="Times New Roman"/>
              <a:cs typeface="Times New Roman"/>
            </a:rPr>
            <a:t>▪ </a:t>
          </a:r>
          <a:r>
            <a:rPr lang="fr-FR" sz="850" b="1" baseline="0">
              <a:solidFill>
                <a:schemeClr val="bg1"/>
              </a:solidFill>
              <a:latin typeface="Arial" pitchFamily="34" charset="0"/>
              <a:cs typeface="Arial" pitchFamily="34" charset="0"/>
            </a:rPr>
            <a:t>Le salaire horaire minimum conventionnel </a:t>
          </a:r>
          <a:r>
            <a:rPr lang="fr-FR" sz="850" b="1" u="none" baseline="0">
              <a:solidFill>
                <a:schemeClr val="bg1"/>
              </a:solidFill>
              <a:latin typeface="Arial" pitchFamily="34" charset="0"/>
              <a:cs typeface="Arial" pitchFamily="34" charset="0"/>
            </a:rPr>
            <a:t>: 10,60 euros brut </a:t>
          </a:r>
          <a:r>
            <a:rPr lang="fr-FR" sz="850" b="1" baseline="0">
              <a:solidFill>
                <a:schemeClr val="bg1"/>
              </a:solidFill>
              <a:latin typeface="Arial" pitchFamily="34" charset="0"/>
              <a:cs typeface="Arial" pitchFamily="34" charset="0"/>
            </a:rPr>
            <a:t>pour  :</a:t>
          </a:r>
        </a:p>
        <a:p>
          <a:r>
            <a:rPr lang="fr-FR" sz="850" b="1">
              <a:solidFill>
                <a:schemeClr val="bg1"/>
              </a:solidFill>
              <a:latin typeface="Arial" pitchFamily="34" charset="0"/>
              <a:cs typeface="Arial" pitchFamily="34" charset="0"/>
            </a:rPr>
            <a:t>Une garde d'enfant(s) à domicile A ou</a:t>
          </a:r>
          <a:r>
            <a:rPr lang="fr-FR" sz="850" b="1" baseline="0">
              <a:solidFill>
                <a:schemeClr val="bg1"/>
              </a:solidFill>
              <a:latin typeface="Arial" pitchFamily="34" charset="0"/>
              <a:cs typeface="Arial" pitchFamily="34" charset="0"/>
            </a:rPr>
            <a:t> B</a:t>
          </a:r>
        </a:p>
        <a:p>
          <a:r>
            <a:rPr lang="fr-FR" sz="850" b="1" baseline="0">
              <a:solidFill>
                <a:schemeClr val="bg1"/>
              </a:solidFill>
              <a:latin typeface="Arial" pitchFamily="34" charset="0"/>
              <a:cs typeface="Arial" pitchFamily="34" charset="0"/>
            </a:rPr>
            <a:t>Une employée familiale auprès d'enfants</a:t>
          </a:r>
        </a:p>
        <a:p>
          <a:endParaRPr lang="fr-FR" sz="850" b="1"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0" lang="fr-FR" sz="850" b="1" i="0" u="none" strike="noStrike" kern="0" cap="none" spc="0" normalizeH="0" baseline="0" noProof="0">
              <a:ln>
                <a:noFill/>
              </a:ln>
              <a:solidFill>
                <a:prstClr val="white"/>
              </a:solidFill>
              <a:effectLst/>
              <a:uLnTx/>
              <a:uFillTx/>
              <a:latin typeface="Times New Roman"/>
              <a:ea typeface="+mn-ea"/>
              <a:cs typeface="Times New Roman"/>
            </a:rPr>
            <a:t>▪ </a:t>
          </a:r>
          <a:r>
            <a:rPr lang="fr-FR" sz="850" b="1" baseline="0">
              <a:solidFill>
                <a:schemeClr val="bg1"/>
              </a:solidFill>
              <a:latin typeface="Arial" pitchFamily="34" charset="0"/>
              <a:cs typeface="Arial" pitchFamily="34" charset="0"/>
            </a:rPr>
            <a:t>Salaire minimum conventionnel d'une baby-sitter au 1er octobre 2021 : 10,48 euros brut </a:t>
          </a:r>
          <a:endParaRPr lang="fr-FR" sz="850" b="1">
            <a:solidFill>
              <a:schemeClr val="bg1"/>
            </a:solidFill>
            <a:latin typeface="Arial" pitchFamily="34" charset="0"/>
            <a:cs typeface="Arial" pitchFamily="34" charset="0"/>
          </a:endParaRPr>
        </a:p>
      </xdr:txBody>
    </xdr:sp>
    <xdr:clientData/>
  </xdr:oneCellAnchor>
</xdr:wsDr>
</file>

<file path=xl/theme/theme1.xml><?xml version="1.0" encoding="utf-8"?>
<a:theme xmlns:a="http://schemas.openxmlformats.org/drawingml/2006/main" name="Thème Office">
  <a:themeElements>
    <a:clrScheme name="Métro">
      <a:dk1>
        <a:sysClr val="windowText" lastClr="000000"/>
      </a:dk1>
      <a:lt1>
        <a:sysClr val="window" lastClr="FFFFFF"/>
      </a:lt1>
      <a:dk2>
        <a:srgbClr val="4E5B6F"/>
      </a:dk2>
      <a:lt2>
        <a:srgbClr val="D6ECFF"/>
      </a:lt2>
      <a:accent1>
        <a:srgbClr val="7FD13B"/>
      </a:accent1>
      <a:accent2>
        <a:srgbClr val="EA157A"/>
      </a:accent2>
      <a:accent3>
        <a:srgbClr val="FEB80A"/>
      </a:accent3>
      <a:accent4>
        <a:srgbClr val="00ADDC"/>
      </a:accent4>
      <a:accent5>
        <a:srgbClr val="738AC8"/>
      </a:accent5>
      <a:accent6>
        <a:srgbClr val="1AB39F"/>
      </a:accent6>
      <a:hlink>
        <a:srgbClr val="EB8803"/>
      </a:hlink>
      <a:folHlink>
        <a:srgbClr val="5F77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H45"/>
  <sheetViews>
    <sheetView showGridLines="0" showRowColHeaders="0" workbookViewId="0">
      <selection activeCell="D41" sqref="D41"/>
    </sheetView>
  </sheetViews>
  <sheetFormatPr baseColWidth="10" defaultColWidth="11.42578125" defaultRowHeight="12" x14ac:dyDescent="0.2"/>
  <cols>
    <col min="1" max="1" width="24.7109375" style="1" customWidth="1"/>
    <col min="2" max="2" width="15.140625" style="1" customWidth="1"/>
    <col min="3" max="3" width="14" style="1" customWidth="1"/>
    <col min="4" max="4" width="20.85546875" style="1" customWidth="1"/>
    <col min="5" max="5" width="14.28515625" style="1" customWidth="1"/>
    <col min="6" max="6" width="15.7109375" style="1" customWidth="1"/>
    <col min="7" max="7" width="19.5703125" style="1" bestFit="1" customWidth="1"/>
    <col min="8" max="16384" width="11.42578125" style="1"/>
  </cols>
  <sheetData>
    <row r="1" spans="1:8" x14ac:dyDescent="0.2">
      <c r="A1" s="474" t="s">
        <v>93</v>
      </c>
      <c r="B1" s="474"/>
      <c r="C1" s="474"/>
      <c r="D1" s="474"/>
      <c r="E1" s="474"/>
      <c r="F1" s="474"/>
      <c r="G1" s="293" t="s">
        <v>71</v>
      </c>
      <c r="H1" s="278">
        <v>44470</v>
      </c>
    </row>
    <row r="2" spans="1:8" x14ac:dyDescent="0.2">
      <c r="A2" s="253"/>
      <c r="B2" s="254"/>
      <c r="C2" s="254"/>
      <c r="D2" s="252"/>
      <c r="E2" s="252"/>
      <c r="F2" s="252"/>
      <c r="G2" s="252"/>
      <c r="H2" s="279"/>
    </row>
    <row r="3" spans="1:8" x14ac:dyDescent="0.2">
      <c r="A3" s="253"/>
      <c r="B3" s="254"/>
      <c r="C3" s="254"/>
      <c r="D3" s="252"/>
      <c r="E3" s="252"/>
      <c r="F3" s="252"/>
      <c r="G3" s="252"/>
      <c r="H3" s="279"/>
    </row>
    <row r="4" spans="1:8" x14ac:dyDescent="0.2">
      <c r="A4" s="255"/>
      <c r="B4" s="256"/>
      <c r="C4" s="257"/>
      <c r="D4" s="258"/>
      <c r="E4" s="258"/>
      <c r="F4" s="258"/>
      <c r="G4" s="258"/>
      <c r="H4" s="279"/>
    </row>
    <row r="5" spans="1:8" x14ac:dyDescent="0.2">
      <c r="A5" s="258"/>
      <c r="B5" s="256"/>
      <c r="C5" s="257"/>
      <c r="D5" s="254"/>
      <c r="E5" s="256"/>
      <c r="F5" s="258"/>
      <c r="G5" s="259"/>
      <c r="H5" s="279"/>
    </row>
    <row r="6" spans="1:8" x14ac:dyDescent="0.2">
      <c r="A6" s="260"/>
      <c r="B6" s="261"/>
      <c r="C6" s="257"/>
      <c r="D6" s="254"/>
      <c r="E6" s="262"/>
      <c r="F6" s="258"/>
      <c r="G6" s="258"/>
      <c r="H6" s="279"/>
    </row>
    <row r="7" spans="1:8" x14ac:dyDescent="0.2">
      <c r="A7" s="258" t="s">
        <v>24</v>
      </c>
      <c r="B7" s="263" t="s">
        <v>35</v>
      </c>
      <c r="C7" s="264">
        <v>463</v>
      </c>
      <c r="D7" s="265" t="s">
        <v>36</v>
      </c>
      <c r="E7" s="256">
        <v>232</v>
      </c>
      <c r="F7" s="258"/>
      <c r="G7" s="258"/>
      <c r="H7" s="279"/>
    </row>
    <row r="8" spans="1:8" x14ac:dyDescent="0.2">
      <c r="A8" s="258"/>
      <c r="B8" s="258"/>
      <c r="C8" s="258"/>
      <c r="D8" s="452"/>
      <c r="E8" s="258"/>
      <c r="F8" s="252"/>
      <c r="G8" s="453"/>
      <c r="H8" s="454"/>
    </row>
    <row r="9" spans="1:8" x14ac:dyDescent="0.2">
      <c r="A9" s="256" t="s">
        <v>9</v>
      </c>
      <c r="B9" s="256" t="s">
        <v>10</v>
      </c>
      <c r="C9" s="256" t="s">
        <v>11</v>
      </c>
      <c r="D9" s="455" t="s">
        <v>82</v>
      </c>
      <c r="E9" s="256" t="s">
        <v>27</v>
      </c>
      <c r="F9" s="256" t="s">
        <v>26</v>
      </c>
      <c r="G9" s="461" t="s">
        <v>38</v>
      </c>
      <c r="H9" s="460" t="s">
        <v>149</v>
      </c>
    </row>
    <row r="10" spans="1:8" x14ac:dyDescent="0.2">
      <c r="A10" s="266">
        <v>29788</v>
      </c>
      <c r="B10" s="266">
        <v>34016</v>
      </c>
      <c r="C10" s="267">
        <v>38244</v>
      </c>
      <c r="D10" s="456">
        <v>42472</v>
      </c>
      <c r="E10" s="473">
        <f>ROUND(470.69*130%,2)</f>
        <v>611.9</v>
      </c>
      <c r="F10" s="473">
        <f>ROUND(235.34*130%,2)</f>
        <v>305.94</v>
      </c>
      <c r="G10" s="473">
        <f>ROUND(860.68*130%,2)</f>
        <v>1118.8800000000001</v>
      </c>
      <c r="H10" s="473">
        <f>ROUND(430.34*130%,2)</f>
        <v>559.44000000000005</v>
      </c>
    </row>
    <row r="11" spans="1:8" x14ac:dyDescent="0.2">
      <c r="A11" s="256" t="s">
        <v>154</v>
      </c>
      <c r="B11" s="256" t="s">
        <v>155</v>
      </c>
      <c r="C11" s="264" t="s">
        <v>156</v>
      </c>
      <c r="D11" s="457" t="s">
        <v>157</v>
      </c>
      <c r="E11" s="473">
        <f>ROUND(296.8*130%,2)</f>
        <v>385.84</v>
      </c>
      <c r="F11" s="473">
        <f>ROUND(148.43*130%,2)</f>
        <v>192.96</v>
      </c>
      <c r="G11" s="473">
        <f>ROUND(741.94*130%,2)</f>
        <v>964.52</v>
      </c>
      <c r="H11" s="473">
        <f>ROUND(370.97*130%,2)</f>
        <v>482.26</v>
      </c>
    </row>
    <row r="12" spans="1:8" ht="12.75" thickBot="1" x14ac:dyDescent="0.25">
      <c r="A12" s="268">
        <v>66196</v>
      </c>
      <c r="B12" s="268">
        <v>75593</v>
      </c>
      <c r="C12" s="269">
        <v>84990</v>
      </c>
      <c r="D12" s="458">
        <v>94387</v>
      </c>
      <c r="E12" s="473">
        <f>ROUND(178.06*130%,2)</f>
        <v>231.48</v>
      </c>
      <c r="F12" s="473">
        <f>ROUND(89.03*130%,2)</f>
        <v>115.74</v>
      </c>
      <c r="G12" s="473">
        <f>ROUND(623.23*130%,2)</f>
        <v>810.2</v>
      </c>
      <c r="H12" s="473">
        <f>ROUND(311.62*130%,2)</f>
        <v>405.11</v>
      </c>
    </row>
    <row r="13" spans="1:8" ht="12.75" thickTop="1" x14ac:dyDescent="0.2">
      <c r="A13" s="232"/>
      <c r="B13" s="232"/>
      <c r="C13" s="232"/>
      <c r="D13" s="232"/>
      <c r="E13" s="232"/>
      <c r="F13" s="232"/>
      <c r="G13" s="232"/>
      <c r="H13" s="280"/>
    </row>
    <row r="14" spans="1:8" x14ac:dyDescent="0.2">
      <c r="A14" s="234"/>
      <c r="B14" s="222"/>
      <c r="C14" s="222"/>
      <c r="D14" s="222"/>
      <c r="E14" s="222"/>
      <c r="F14" s="222"/>
      <c r="G14" s="219"/>
      <c r="H14" s="281"/>
    </row>
    <row r="15" spans="1:8" x14ac:dyDescent="0.2">
      <c r="A15" s="476"/>
      <c r="B15" s="476"/>
      <c r="C15" s="476"/>
      <c r="D15" s="476"/>
      <c r="E15" s="476"/>
      <c r="F15" s="476"/>
      <c r="G15" s="219"/>
      <c r="H15" s="281"/>
    </row>
    <row r="16" spans="1:8" x14ac:dyDescent="0.2">
      <c r="A16" s="221"/>
      <c r="B16" s="221"/>
      <c r="C16" s="221"/>
      <c r="D16" s="221"/>
      <c r="E16" s="221"/>
      <c r="F16" s="221"/>
      <c r="G16" s="219"/>
      <c r="H16" s="281"/>
    </row>
    <row r="17" spans="1:8" x14ac:dyDescent="0.2">
      <c r="A17" s="221"/>
      <c r="B17" s="221"/>
      <c r="C17" s="221"/>
      <c r="D17" s="221"/>
      <c r="E17" s="221"/>
      <c r="F17" s="221"/>
      <c r="G17" s="219"/>
      <c r="H17" s="281"/>
    </row>
    <row r="18" spans="1:8" x14ac:dyDescent="0.2">
      <c r="A18" s="221"/>
      <c r="B18" s="221"/>
      <c r="C18" s="221"/>
      <c r="D18" s="221"/>
      <c r="E18" s="221"/>
      <c r="F18" s="221"/>
      <c r="G18" s="219"/>
      <c r="H18" s="281"/>
    </row>
    <row r="19" spans="1:8" x14ac:dyDescent="0.2">
      <c r="A19" s="222"/>
      <c r="B19" s="222"/>
      <c r="C19" s="222"/>
      <c r="D19" s="222"/>
      <c r="E19" s="222"/>
      <c r="F19" s="222"/>
      <c r="G19" s="219"/>
      <c r="H19" s="281"/>
    </row>
    <row r="20" spans="1:8" x14ac:dyDescent="0.2">
      <c r="A20" s="234"/>
      <c r="B20" s="222"/>
      <c r="C20" s="222"/>
      <c r="D20" s="222"/>
      <c r="E20" s="222"/>
      <c r="F20" s="222"/>
      <c r="G20" s="219"/>
      <c r="H20" s="281"/>
    </row>
    <row r="21" spans="1:8" x14ac:dyDescent="0.2">
      <c r="A21" s="222" t="s">
        <v>29</v>
      </c>
      <c r="B21" s="222"/>
      <c r="C21" s="222"/>
      <c r="D21" s="219"/>
      <c r="E21" s="219"/>
      <c r="F21" s="222">
        <v>13500</v>
      </c>
      <c r="G21" s="219"/>
      <c r="H21" s="281"/>
    </row>
    <row r="22" spans="1:8" x14ac:dyDescent="0.2">
      <c r="A22" s="222" t="s">
        <v>30</v>
      </c>
      <c r="B22" s="222"/>
      <c r="C22" s="222"/>
      <c r="D22" s="219"/>
      <c r="E22" s="219"/>
      <c r="F22" s="222">
        <v>15000</v>
      </c>
      <c r="G22" s="219"/>
      <c r="H22" s="281"/>
    </row>
    <row r="23" spans="1:8" ht="12.75" thickBot="1" x14ac:dyDescent="0.25">
      <c r="A23" s="225" t="s">
        <v>39</v>
      </c>
      <c r="B23" s="225"/>
      <c r="C23" s="225">
        <v>20</v>
      </c>
      <c r="D23" s="224"/>
      <c r="E23" s="224"/>
      <c r="F23" s="225"/>
      <c r="G23" s="224"/>
      <c r="H23" s="282"/>
    </row>
    <row r="24" spans="1:8" ht="12.75" thickTop="1" x14ac:dyDescent="0.2">
      <c r="A24" s="235"/>
      <c r="B24" s="235"/>
      <c r="C24" s="235"/>
      <c r="D24" s="235"/>
      <c r="E24" s="235"/>
      <c r="F24" s="235"/>
      <c r="G24" s="235"/>
      <c r="H24" s="283"/>
    </row>
    <row r="25" spans="1:8" x14ac:dyDescent="0.2">
      <c r="A25" s="475" t="s">
        <v>13</v>
      </c>
      <c r="B25" s="475"/>
      <c r="C25" s="475"/>
      <c r="D25" s="475"/>
      <c r="E25" s="475"/>
      <c r="F25" s="475"/>
      <c r="G25" s="226"/>
      <c r="H25" s="284"/>
    </row>
    <row r="26" spans="1:8" x14ac:dyDescent="0.2">
      <c r="A26" s="236"/>
      <c r="B26" s="236"/>
      <c r="C26" s="236"/>
      <c r="D26" s="236"/>
      <c r="E26" s="236"/>
      <c r="F26" s="236"/>
      <c r="G26" s="226"/>
      <c r="H26" s="284"/>
    </row>
    <row r="27" spans="1:8" s="2" customFormat="1" x14ac:dyDescent="0.2">
      <c r="A27" s="227" t="s">
        <v>31</v>
      </c>
      <c r="B27" s="227"/>
      <c r="C27" s="237">
        <v>2300</v>
      </c>
      <c r="D27" s="227"/>
      <c r="E27" s="238"/>
      <c r="F27" s="226"/>
      <c r="G27" s="226"/>
      <c r="H27" s="284"/>
    </row>
    <row r="28" spans="1:8" s="2" customFormat="1" x14ac:dyDescent="0.2">
      <c r="A28" s="227" t="s">
        <v>32</v>
      </c>
      <c r="B28" s="227"/>
      <c r="C28" s="237">
        <v>3.17</v>
      </c>
      <c r="D28" s="227"/>
      <c r="E28" s="239"/>
      <c r="F28" s="226"/>
      <c r="G28" s="226"/>
      <c r="H28" s="284"/>
    </row>
    <row r="29" spans="1:8" s="2" customFormat="1" x14ac:dyDescent="0.2">
      <c r="A29" s="227" t="s">
        <v>14</v>
      </c>
      <c r="B29" s="227"/>
      <c r="C29" s="237">
        <v>22</v>
      </c>
      <c r="D29" s="226"/>
      <c r="E29" s="226"/>
      <c r="F29" s="226"/>
      <c r="G29" s="226"/>
      <c r="H29" s="284"/>
    </row>
    <row r="30" spans="1:8" s="2" customFormat="1" x14ac:dyDescent="0.2">
      <c r="A30" s="227" t="s">
        <v>15</v>
      </c>
      <c r="B30" s="227"/>
      <c r="C30" s="237">
        <v>52.4</v>
      </c>
      <c r="D30" s="229"/>
      <c r="E30" s="228"/>
      <c r="F30" s="226"/>
      <c r="G30" s="226"/>
      <c r="H30" s="284"/>
    </row>
    <row r="31" spans="1:8" s="2" customFormat="1" x14ac:dyDescent="0.2">
      <c r="A31" s="227" t="s">
        <v>153</v>
      </c>
      <c r="B31" s="227"/>
      <c r="C31" s="237">
        <v>40.869999999999997</v>
      </c>
      <c r="D31" s="226"/>
      <c r="E31" s="226"/>
      <c r="F31" s="226"/>
      <c r="G31" s="226"/>
      <c r="H31" s="284"/>
    </row>
    <row r="32" spans="1:8" x14ac:dyDescent="0.2">
      <c r="A32" s="227"/>
      <c r="B32" s="227"/>
      <c r="C32" s="240"/>
      <c r="D32" s="226"/>
      <c r="E32" s="226"/>
      <c r="F32" s="226"/>
      <c r="G32" s="226"/>
      <c r="H32" s="284"/>
    </row>
    <row r="33" spans="1:8" x14ac:dyDescent="0.2">
      <c r="A33" s="227" t="s">
        <v>16</v>
      </c>
      <c r="B33" s="227"/>
      <c r="C33" s="241">
        <v>10.48</v>
      </c>
      <c r="D33" s="226"/>
      <c r="E33" s="226"/>
      <c r="F33" s="226"/>
      <c r="G33" s="226"/>
      <c r="H33" s="284"/>
    </row>
    <row r="34" spans="1:8" ht="12.75" thickBot="1" x14ac:dyDescent="0.25">
      <c r="A34" s="231" t="s">
        <v>143</v>
      </c>
      <c r="B34" s="231"/>
      <c r="C34" s="242">
        <v>10.6</v>
      </c>
      <c r="D34" s="230"/>
      <c r="E34" s="230"/>
      <c r="F34" s="230"/>
      <c r="G34" s="230"/>
      <c r="H34" s="285"/>
    </row>
    <row r="35" spans="1:8" ht="12.75" thickTop="1" x14ac:dyDescent="0.2">
      <c r="A35" s="232"/>
      <c r="B35" s="232"/>
      <c r="C35" s="243"/>
      <c r="D35" s="233"/>
      <c r="E35" s="233"/>
      <c r="F35" s="233"/>
      <c r="G35" s="244"/>
      <c r="H35" s="286"/>
    </row>
    <row r="36" spans="1:8" ht="36" x14ac:dyDescent="0.2">
      <c r="A36" s="245" t="s">
        <v>144</v>
      </c>
      <c r="B36" s="246" t="s">
        <v>105</v>
      </c>
      <c r="C36" s="246" t="s">
        <v>106</v>
      </c>
      <c r="D36" s="247" t="s">
        <v>37</v>
      </c>
      <c r="E36" s="247" t="s">
        <v>28</v>
      </c>
      <c r="F36" s="296" t="s">
        <v>159</v>
      </c>
      <c r="G36" s="248"/>
      <c r="H36" s="287"/>
    </row>
    <row r="37" spans="1:8" x14ac:dyDescent="0.2">
      <c r="A37" s="220" t="s">
        <v>19</v>
      </c>
      <c r="B37" s="223">
        <v>43.94</v>
      </c>
      <c r="C37" s="223">
        <v>4.38</v>
      </c>
      <c r="D37" s="223">
        <v>6.1500000000000001E-3</v>
      </c>
      <c r="E37" s="223"/>
      <c r="F37" s="459">
        <v>711.62</v>
      </c>
      <c r="G37" s="219"/>
      <c r="H37" s="281"/>
    </row>
    <row r="38" spans="1:8" x14ac:dyDescent="0.2">
      <c r="A38" s="220" t="s">
        <v>20</v>
      </c>
      <c r="B38" s="223">
        <v>36.58</v>
      </c>
      <c r="C38" s="223">
        <v>3.64</v>
      </c>
      <c r="D38" s="223">
        <v>5.1200000000000004E-3</v>
      </c>
      <c r="E38" s="223"/>
      <c r="F38" s="219"/>
      <c r="G38" s="219"/>
      <c r="H38" s="281"/>
    </row>
    <row r="39" spans="1:8" x14ac:dyDescent="0.2">
      <c r="A39" s="220" t="s">
        <v>21</v>
      </c>
      <c r="B39" s="223">
        <v>29.28</v>
      </c>
      <c r="C39" s="223">
        <v>2.92</v>
      </c>
      <c r="D39" s="223">
        <v>4.1000000000000003E-3</v>
      </c>
      <c r="E39" s="223"/>
      <c r="F39" s="219"/>
      <c r="G39" s="219"/>
      <c r="H39" s="281"/>
    </row>
    <row r="40" spans="1:8" x14ac:dyDescent="0.2">
      <c r="A40" s="220" t="s">
        <v>22</v>
      </c>
      <c r="B40" s="223">
        <v>21.94</v>
      </c>
      <c r="C40" s="223">
        <v>2.1800000000000002</v>
      </c>
      <c r="D40" s="223">
        <v>3.0699999999999998E-3</v>
      </c>
      <c r="E40" s="223"/>
      <c r="F40" s="219"/>
      <c r="G40" s="219"/>
      <c r="H40" s="281"/>
    </row>
    <row r="41" spans="1:8" x14ac:dyDescent="0.2">
      <c r="A41" s="248"/>
      <c r="B41" s="248"/>
      <c r="C41" s="248"/>
      <c r="D41" s="249"/>
      <c r="E41" s="248"/>
      <c r="F41" s="248"/>
      <c r="G41" s="248"/>
      <c r="H41" s="287"/>
    </row>
    <row r="42" spans="1:8" x14ac:dyDescent="0.2">
      <c r="A42" s="250"/>
      <c r="B42" s="248"/>
      <c r="C42" s="248"/>
      <c r="D42" s="251"/>
      <c r="E42" s="248"/>
      <c r="F42" s="248"/>
      <c r="G42" s="248"/>
      <c r="H42" s="287"/>
    </row>
    <row r="43" spans="1:8" ht="12.75" thickBot="1" x14ac:dyDescent="0.25">
      <c r="A43" s="288" t="s">
        <v>107</v>
      </c>
      <c r="B43" s="289"/>
      <c r="C43" s="290"/>
      <c r="D43" s="291"/>
      <c r="E43" s="290"/>
      <c r="F43" s="290"/>
      <c r="G43" s="290"/>
      <c r="H43" s="292"/>
    </row>
    <row r="44" spans="1:8" ht="12.75" thickTop="1" x14ac:dyDescent="0.2">
      <c r="D44" s="3"/>
    </row>
    <row r="45" spans="1:8" x14ac:dyDescent="0.2">
      <c r="D45" s="3"/>
    </row>
  </sheetData>
  <sheetProtection algorithmName="SHA-512" hashValue="ifT8ldnsRwJa1BvaTwyVbwuUvcMLiR/IhE2bQdft/BwXAbNQhvCEaXWZeEXmamsy2wX3OSRioHYX5g8Csn/aiw==" saltValue="sILaA7jAcWPWj/1uf3jx8A==" spinCount="100000" sheet="1" objects="1" scenarios="1"/>
  <mergeCells count="5">
    <mergeCell ref="A1:F1"/>
    <mergeCell ref="A25:F25"/>
    <mergeCell ref="A15:B15"/>
    <mergeCell ref="C15:D15"/>
    <mergeCell ref="E15:F15"/>
  </mergeCells>
  <phoneticPr fontId="16" type="noConversion"/>
  <pageMargins left="0.19685039370078741" right="0.39370078740157483" top="0.27559055118110237" bottom="0.27559055118110237" header="0.31496062992125984" footer="0.27559055118110237"/>
  <pageSetup paperSize="9" orientation="landscape"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O90"/>
  <sheetViews>
    <sheetView showGridLines="0" showRowColHeaders="0" showOutlineSymbols="0" defaultGridColor="0" colorId="8" workbookViewId="0">
      <selection activeCell="M43" sqref="M43"/>
    </sheetView>
  </sheetViews>
  <sheetFormatPr baseColWidth="10" defaultColWidth="11.42578125" defaultRowHeight="11.25" x14ac:dyDescent="0.2"/>
  <cols>
    <col min="1" max="1" width="2.5703125" style="7" customWidth="1"/>
    <col min="2" max="2" width="19.85546875" style="7" customWidth="1"/>
    <col min="3" max="3" width="12.140625" style="7" customWidth="1"/>
    <col min="4" max="4" width="13.85546875" style="7" customWidth="1"/>
    <col min="5" max="6" width="9.7109375" style="7" customWidth="1"/>
    <col min="7" max="7" width="1.28515625" style="7" customWidth="1"/>
    <col min="8" max="9" width="9.42578125" style="7" customWidth="1"/>
    <col min="10" max="10" width="0.85546875" style="7" customWidth="1"/>
    <col min="11" max="11" width="10.7109375" style="7" customWidth="1"/>
    <col min="12" max="12" width="3.28515625" style="7" customWidth="1"/>
    <col min="13" max="13" width="17.7109375" style="7" customWidth="1"/>
    <col min="14" max="16384" width="11.42578125" style="7"/>
  </cols>
  <sheetData>
    <row r="1" spans="1:15" x14ac:dyDescent="0.2">
      <c r="E1" s="23"/>
    </row>
    <row r="2" spans="1:15" x14ac:dyDescent="0.2">
      <c r="B2" s="58" t="s">
        <v>57</v>
      </c>
      <c r="C2" s="60"/>
      <c r="D2" s="60"/>
      <c r="E2" s="59"/>
      <c r="F2" s="4"/>
      <c r="G2" s="4"/>
      <c r="H2" s="4" t="s">
        <v>61</v>
      </c>
      <c r="I2" s="4"/>
      <c r="J2" s="4"/>
      <c r="K2" s="5"/>
      <c r="L2" s="6"/>
    </row>
    <row r="3" spans="1:15" x14ac:dyDescent="0.2">
      <c r="B3" s="61" t="s">
        <v>63</v>
      </c>
      <c r="C3" s="62"/>
      <c r="D3" s="62"/>
      <c r="E3" s="135">
        <f>'SIMULATEUR FOYER MONOPARENTAL'!D2</f>
        <v>1</v>
      </c>
      <c r="F3" s="9" t="s">
        <v>52</v>
      </c>
      <c r="G3" s="4"/>
      <c r="H3" s="8" t="s">
        <v>67</v>
      </c>
      <c r="I3" s="4"/>
      <c r="J3" s="4"/>
      <c r="K3" s="5"/>
      <c r="L3" s="6"/>
    </row>
    <row r="4" spans="1:15" x14ac:dyDescent="0.2">
      <c r="B4" s="131" t="s">
        <v>64</v>
      </c>
      <c r="C4" s="132"/>
      <c r="D4" s="132"/>
      <c r="E4" s="136" t="str">
        <f>'SIMULATEUR FOYER MONOPARENTAL'!D3</f>
        <v>oui</v>
      </c>
      <c r="F4" s="9" t="s">
        <v>53</v>
      </c>
      <c r="G4" s="4"/>
      <c r="H4" s="10" t="s">
        <v>51</v>
      </c>
      <c r="I4" s="10"/>
      <c r="J4" s="10"/>
      <c r="K4" s="5"/>
      <c r="L4" s="6"/>
    </row>
    <row r="5" spans="1:15" x14ac:dyDescent="0.2">
      <c r="B5" s="482" t="s">
        <v>65</v>
      </c>
      <c r="C5" s="483"/>
      <c r="D5" s="483"/>
      <c r="E5" s="136" t="str">
        <f>'SIMULATEUR FOYER MONOPARENTAL'!D4</f>
        <v>oui</v>
      </c>
      <c r="F5" s="9"/>
      <c r="G5" s="4"/>
      <c r="H5" s="45"/>
      <c r="I5" s="10"/>
      <c r="J5" s="10"/>
      <c r="K5" s="5"/>
      <c r="L5" s="6"/>
    </row>
    <row r="6" spans="1:15" x14ac:dyDescent="0.2">
      <c r="B6" s="478" t="s">
        <v>81</v>
      </c>
      <c r="C6" s="479"/>
      <c r="D6" s="480"/>
      <c r="E6" s="136">
        <f>'SIMULATEUR FOYER MONOPARENTAL'!D5</f>
        <v>45000</v>
      </c>
      <c r="F6" s="12"/>
      <c r="G6" s="12"/>
      <c r="J6" s="13"/>
      <c r="K6" s="6"/>
      <c r="L6" s="6"/>
    </row>
    <row r="7" spans="1:15" x14ac:dyDescent="0.2">
      <c r="B7" s="478" t="s">
        <v>80</v>
      </c>
      <c r="C7" s="479"/>
      <c r="D7" s="480"/>
      <c r="E7" s="136">
        <f>'SIMULATEUR FOYER MONOPARENTAL'!D6</f>
        <v>40500</v>
      </c>
      <c r="F7" s="63"/>
      <c r="G7" s="6"/>
      <c r="J7" s="19"/>
      <c r="K7" s="46"/>
      <c r="N7" s="477"/>
      <c r="O7" s="477"/>
    </row>
    <row r="8" spans="1:15" x14ac:dyDescent="0.2">
      <c r="B8" s="133" t="s">
        <v>66</v>
      </c>
      <c r="C8" s="134"/>
      <c r="D8" s="134"/>
      <c r="E8" s="136" t="str">
        <f>'SIMULATEUR FOYER MONOPARENTAL'!D7</f>
        <v>oui</v>
      </c>
      <c r="F8" s="12"/>
      <c r="G8" s="12"/>
      <c r="J8" s="13"/>
      <c r="K8" s="6"/>
      <c r="N8" s="477"/>
      <c r="O8" s="477"/>
    </row>
    <row r="9" spans="1:15" x14ac:dyDescent="0.2">
      <c r="B9" s="482" t="s">
        <v>46</v>
      </c>
      <c r="C9" s="483"/>
      <c r="D9" s="483"/>
      <c r="E9" s="136">
        <f>'SIMULATEUR FOYER MONOPARENTAL'!D8</f>
        <v>4000</v>
      </c>
      <c r="F9" s="6"/>
      <c r="G9" s="6"/>
      <c r="J9" s="6"/>
      <c r="K9" s="6"/>
      <c r="N9" s="477"/>
      <c r="O9" s="477"/>
    </row>
    <row r="10" spans="1:15" x14ac:dyDescent="0.2">
      <c r="B10" s="137" t="s">
        <v>70</v>
      </c>
      <c r="C10" s="138"/>
      <c r="D10" s="138"/>
      <c r="E10" s="136" t="e">
        <f>'SIMULATEUR FOYER MONOPARENTAL'!#REF!</f>
        <v>#REF!</v>
      </c>
      <c r="F10" s="139"/>
      <c r="G10" s="140"/>
      <c r="H10" s="140"/>
      <c r="I10" s="140"/>
      <c r="J10" s="140"/>
      <c r="K10" s="140"/>
      <c r="N10" s="477"/>
      <c r="O10" s="477"/>
    </row>
    <row r="11" spans="1:15" x14ac:dyDescent="0.2">
      <c r="A11" s="18"/>
      <c r="B11" s="64"/>
      <c r="C11" s="16"/>
      <c r="D11" s="16"/>
      <c r="E11" s="17"/>
      <c r="F11" s="17"/>
      <c r="G11" s="17"/>
      <c r="H11" s="15"/>
      <c r="I11" s="15"/>
      <c r="J11" s="15"/>
      <c r="K11" s="15"/>
      <c r="M11" s="122"/>
    </row>
    <row r="12" spans="1:15" s="18" customFormat="1" ht="22.5" x14ac:dyDescent="0.2">
      <c r="B12" s="65"/>
      <c r="C12" s="20"/>
      <c r="D12" s="20"/>
      <c r="E12" s="484" t="s">
        <v>23</v>
      </c>
      <c r="F12" s="484"/>
      <c r="G12" s="14"/>
      <c r="H12" s="481" t="s">
        <v>69</v>
      </c>
      <c r="I12" s="481"/>
      <c r="J12" s="19"/>
      <c r="K12" s="21" t="s">
        <v>50</v>
      </c>
      <c r="M12" s="5"/>
    </row>
    <row r="13" spans="1:15" s="18" customFormat="1" ht="22.5" x14ac:dyDescent="0.2">
      <c r="A13" s="7"/>
      <c r="B13" s="65"/>
      <c r="C13" s="20"/>
      <c r="D13" s="20"/>
      <c r="E13" s="22" t="s">
        <v>48</v>
      </c>
      <c r="F13" s="22" t="s">
        <v>47</v>
      </c>
      <c r="G13" s="21"/>
      <c r="H13" s="22" t="s">
        <v>55</v>
      </c>
      <c r="I13" s="22" t="s">
        <v>56</v>
      </c>
      <c r="J13" s="21"/>
      <c r="K13" s="48" t="s">
        <v>49</v>
      </c>
    </row>
    <row r="14" spans="1:15" x14ac:dyDescent="0.2">
      <c r="B14" s="66" t="s">
        <v>54</v>
      </c>
      <c r="C14" s="12"/>
      <c r="D14" s="12"/>
      <c r="E14" s="42">
        <v>9.5299999999999994</v>
      </c>
      <c r="F14" s="42">
        <f>'SIMULATEUR FOYER MONOPARENTAL'!E12</f>
        <v>20</v>
      </c>
      <c r="G14" s="51"/>
      <c r="H14" s="42">
        <f>'SIMULATEUR FOYER MONOPARENTAL'!G12</f>
        <v>4</v>
      </c>
      <c r="I14" s="42">
        <v>47.65</v>
      </c>
      <c r="J14" s="67"/>
      <c r="K14" s="19"/>
    </row>
    <row r="15" spans="1:15" x14ac:dyDescent="0.2">
      <c r="B15" s="141" t="s">
        <v>17</v>
      </c>
      <c r="C15" s="142"/>
      <c r="D15" s="142"/>
      <c r="E15" s="143"/>
      <c r="F15" s="143"/>
      <c r="G15" s="24"/>
      <c r="H15" s="42">
        <f>'SIMULATEUR FOYER MONOPARENTAL'!G13</f>
        <v>22</v>
      </c>
      <c r="I15" s="42">
        <f>'SIMULATEUR FOYER MONOPARENTAL'!H13</f>
        <v>22</v>
      </c>
      <c r="J15" s="68"/>
      <c r="K15" s="69">
        <f>'SIMULATEUR FOYER MONOPARENTAL'!J13</f>
        <v>5</v>
      </c>
    </row>
    <row r="16" spans="1:15" x14ac:dyDescent="0.2">
      <c r="B16" s="141" t="s">
        <v>0</v>
      </c>
      <c r="C16" s="142"/>
      <c r="D16" s="142"/>
      <c r="E16" s="144">
        <v>174</v>
      </c>
      <c r="F16" s="144">
        <f>'SIMULATEUR FOYER MONOPARENTAL'!E14</f>
        <v>120</v>
      </c>
      <c r="G16" s="24"/>
      <c r="H16" s="24"/>
      <c r="I16" s="70"/>
      <c r="J16" s="19"/>
      <c r="K16" s="19"/>
    </row>
    <row r="17" spans="2:14" x14ac:dyDescent="0.2">
      <c r="B17" s="141" t="s">
        <v>1</v>
      </c>
      <c r="C17" s="142"/>
      <c r="D17" s="142"/>
      <c r="E17" s="144"/>
      <c r="F17" s="144">
        <f>'SIMULATEUR FOYER MONOPARENTAL'!E15</f>
        <v>0</v>
      </c>
      <c r="G17" s="24"/>
      <c r="H17" s="24"/>
      <c r="I17" s="70"/>
      <c r="J17" s="19"/>
      <c r="K17" s="19"/>
    </row>
    <row r="18" spans="2:14" x14ac:dyDescent="0.2">
      <c r="B18" s="117" t="s">
        <v>45</v>
      </c>
      <c r="C18" s="106"/>
      <c r="D18" s="106"/>
      <c r="E18" s="144">
        <f>'SIMULATEUR FOYER MONOPARENTAL'!D17</f>
        <v>0</v>
      </c>
      <c r="F18" s="24"/>
      <c r="G18" s="24"/>
      <c r="H18" s="24"/>
      <c r="I18" s="70"/>
      <c r="J18" s="19"/>
      <c r="K18" s="19"/>
    </row>
    <row r="19" spans="2:14" x14ac:dyDescent="0.2">
      <c r="B19" s="71" t="s">
        <v>2</v>
      </c>
      <c r="C19" s="72"/>
      <c r="D19" s="72"/>
      <c r="E19" s="26">
        <f>E14*E16+E17*E14*125%+E18</f>
        <v>1658.22</v>
      </c>
      <c r="F19" s="26">
        <f>F14*F16+F17*F14*125%</f>
        <v>2400</v>
      </c>
      <c r="G19" s="27"/>
      <c r="H19" s="73">
        <f>H14*H15</f>
        <v>88</v>
      </c>
      <c r="I19" s="73">
        <f>I14*I15</f>
        <v>1048.3</v>
      </c>
      <c r="J19" s="74"/>
      <c r="K19" s="70"/>
    </row>
    <row r="20" spans="2:14" x14ac:dyDescent="0.2">
      <c r="B20" s="56" t="s">
        <v>58</v>
      </c>
      <c r="C20" s="55"/>
      <c r="D20" s="55"/>
      <c r="E20" s="25"/>
      <c r="F20" s="24"/>
      <c r="G20" s="24"/>
      <c r="H20" s="43">
        <f>'SIMULATEUR FOYER MONOPARENTAL'!G19</f>
        <v>0</v>
      </c>
      <c r="I20" s="43">
        <f>'SIMULATEUR FOYER MONOPARENTAL'!H19</f>
        <v>3.03</v>
      </c>
      <c r="J20" s="74"/>
      <c r="K20" s="70"/>
    </row>
    <row r="21" spans="2:14" x14ac:dyDescent="0.2">
      <c r="B21" s="61"/>
      <c r="C21" s="12"/>
      <c r="D21" s="12"/>
      <c r="E21" s="28"/>
      <c r="F21" s="28"/>
      <c r="G21" s="24"/>
      <c r="H21" s="75">
        <f>H14*H15*Feuil2!E27</f>
        <v>0</v>
      </c>
      <c r="I21" s="75">
        <f>I14*I15*Feuil2!E27</f>
        <v>0</v>
      </c>
      <c r="J21" s="76"/>
      <c r="K21" s="70"/>
      <c r="N21" s="7">
        <f>7.24*174</f>
        <v>1259.76</v>
      </c>
    </row>
    <row r="22" spans="2:14" x14ac:dyDescent="0.2">
      <c r="B22" s="61"/>
      <c r="C22" s="12"/>
      <c r="D22" s="12"/>
      <c r="E22" s="77"/>
      <c r="F22" s="28"/>
      <c r="G22" s="24"/>
      <c r="H22" s="28"/>
      <c r="I22" s="75"/>
      <c r="J22" s="76"/>
      <c r="K22" s="76"/>
      <c r="N22" s="7">
        <f>7.24*10*125%</f>
        <v>90.5</v>
      </c>
    </row>
    <row r="23" spans="2:14" x14ac:dyDescent="0.2">
      <c r="B23" s="61"/>
      <c r="C23" s="12"/>
      <c r="D23" s="12"/>
      <c r="E23" s="28"/>
      <c r="F23" s="28"/>
      <c r="G23" s="24"/>
      <c r="H23" s="75"/>
      <c r="I23" s="75"/>
      <c r="J23" s="76"/>
      <c r="K23" s="70"/>
      <c r="L23" s="23"/>
      <c r="N23" s="7">
        <f>SUM(N21:N22)</f>
        <v>1350.26</v>
      </c>
    </row>
    <row r="24" spans="2:14" x14ac:dyDescent="0.2">
      <c r="B24" s="61" t="s">
        <v>3</v>
      </c>
      <c r="C24" s="12"/>
      <c r="D24" s="12"/>
      <c r="E24" s="28">
        <f>E19*Feuil2!B4%</f>
        <v>0</v>
      </c>
      <c r="F24" s="28"/>
      <c r="G24" s="24"/>
      <c r="H24" s="75">
        <f>H19*Feuil2!$E$27</f>
        <v>0</v>
      </c>
      <c r="I24" s="75">
        <f>I19*Feuil2!$E$27</f>
        <v>0</v>
      </c>
      <c r="J24" s="76"/>
      <c r="K24" s="70"/>
    </row>
    <row r="25" spans="2:14" ht="15" x14ac:dyDescent="0.25">
      <c r="B25" s="56" t="s">
        <v>4</v>
      </c>
      <c r="C25" s="55"/>
      <c r="D25" s="55"/>
      <c r="E25" s="29">
        <f>E19*Feuil2!B5%</f>
        <v>0</v>
      </c>
      <c r="F25" s="28"/>
      <c r="G25" s="24"/>
      <c r="H25" s="78">
        <f>H14*H15*Feuil2!E28</f>
        <v>0</v>
      </c>
      <c r="I25" s="78">
        <f>I14*I15*Feuil2!E28</f>
        <v>0</v>
      </c>
      <c r="J25" s="76"/>
      <c r="K25" s="70"/>
      <c r="N25"/>
    </row>
    <row r="26" spans="2:14" ht="15" x14ac:dyDescent="0.25">
      <c r="B26" s="56" t="s">
        <v>25</v>
      </c>
      <c r="C26" s="55"/>
      <c r="D26" s="55"/>
      <c r="E26" s="128">
        <f>E19*Feuil2!B6%</f>
        <v>0</v>
      </c>
      <c r="F26" s="24"/>
      <c r="G26" s="24"/>
      <c r="H26" s="80">
        <f>H21+H25</f>
        <v>0</v>
      </c>
      <c r="I26" s="79">
        <f>I21+I25</f>
        <v>0</v>
      </c>
      <c r="J26" s="79"/>
      <c r="K26" s="19"/>
      <c r="M26" s="47"/>
      <c r="N26"/>
    </row>
    <row r="27" spans="2:14" ht="15" x14ac:dyDescent="0.25">
      <c r="B27" s="81"/>
      <c r="C27" s="82"/>
      <c r="D27" s="82"/>
      <c r="E27" s="30"/>
      <c r="F27" s="28"/>
      <c r="G27" s="24"/>
      <c r="H27" s="28"/>
      <c r="I27" s="83"/>
      <c r="J27" s="79"/>
      <c r="K27" s="19"/>
      <c r="N27"/>
    </row>
    <row r="28" spans="2:14" ht="15" x14ac:dyDescent="0.25">
      <c r="B28" s="84" t="s">
        <v>79</v>
      </c>
      <c r="C28" s="85"/>
      <c r="D28" s="85"/>
      <c r="E28" s="31">
        <f>E19-E24</f>
        <v>1658.22</v>
      </c>
      <c r="F28" s="32"/>
      <c r="G28" s="27"/>
      <c r="H28" s="86">
        <f>H19-H21+(H20*H15)</f>
        <v>88</v>
      </c>
      <c r="I28" s="86">
        <f>I19-I21+(I20*I15)</f>
        <v>1114.96</v>
      </c>
      <c r="J28" s="76"/>
      <c r="K28" s="70"/>
      <c r="N28"/>
    </row>
    <row r="29" spans="2:14" ht="15" x14ac:dyDescent="0.25">
      <c r="B29" s="84"/>
      <c r="C29" s="85"/>
      <c r="D29" s="85"/>
      <c r="E29" s="32"/>
      <c r="F29" s="32"/>
      <c r="G29" s="27"/>
      <c r="H29" s="129"/>
      <c r="I29" s="129"/>
      <c r="J29" s="87"/>
      <c r="K29" s="70"/>
      <c r="N29"/>
    </row>
    <row r="30" spans="2:14" ht="15" x14ac:dyDescent="0.25">
      <c r="B30" s="61" t="s">
        <v>12</v>
      </c>
      <c r="C30" s="12"/>
      <c r="D30" s="12"/>
      <c r="E30" s="42">
        <f>'SIMULATEUR FOYER MONOPARENTAL'!D29</f>
        <v>0</v>
      </c>
      <c r="F30" s="24"/>
      <c r="G30" s="24"/>
      <c r="H30" s="24"/>
      <c r="I30" s="70"/>
      <c r="J30" s="87"/>
      <c r="K30" s="70"/>
      <c r="N30"/>
    </row>
    <row r="31" spans="2:14" ht="15" x14ac:dyDescent="0.25">
      <c r="B31" s="71" t="s">
        <v>5</v>
      </c>
      <c r="C31" s="88"/>
      <c r="D31" s="88"/>
      <c r="E31" s="26">
        <f>E28+E30</f>
        <v>1658.22</v>
      </c>
      <c r="F31" s="27"/>
      <c r="G31" s="27"/>
      <c r="H31" s="89">
        <f>H28</f>
        <v>88</v>
      </c>
      <c r="I31" s="89">
        <f>I28</f>
        <v>1114.96</v>
      </c>
      <c r="J31" s="19"/>
      <c r="K31" s="70"/>
      <c r="N31" t="e">
        <f>1-(-E47/E26)</f>
        <v>#DIV/0!</v>
      </c>
    </row>
    <row r="32" spans="2:14" ht="15" x14ac:dyDescent="0.25">
      <c r="B32" s="57" t="s">
        <v>41</v>
      </c>
      <c r="C32" s="11"/>
      <c r="D32" s="11"/>
      <c r="E32" s="33">
        <f>E31+E26</f>
        <v>1658.22</v>
      </c>
      <c r="F32" s="28"/>
      <c r="G32" s="24"/>
      <c r="H32" s="90">
        <f>H31+H26</f>
        <v>88</v>
      </c>
      <c r="I32" s="90">
        <f>I31+I26</f>
        <v>1114.96</v>
      </c>
      <c r="J32" s="87"/>
      <c r="K32" s="70"/>
      <c r="N32" t="e">
        <f>N31*E39</f>
        <v>#DIV/0!</v>
      </c>
    </row>
    <row r="33" spans="2:14" ht="15" x14ac:dyDescent="0.25">
      <c r="B33" s="61"/>
      <c r="C33" s="12"/>
      <c r="D33" s="12"/>
      <c r="E33" s="28"/>
      <c r="F33" s="28"/>
      <c r="G33" s="24"/>
      <c r="H33" s="98"/>
      <c r="I33" s="98"/>
      <c r="J33" s="87"/>
      <c r="K33" s="70"/>
      <c r="N33"/>
    </row>
    <row r="34" spans="2:14" ht="15" x14ac:dyDescent="0.25">
      <c r="B34" s="61" t="s">
        <v>89</v>
      </c>
      <c r="C34" s="12"/>
      <c r="D34" s="12"/>
      <c r="E34" s="28">
        <f>'SIMULATEUR FOYER MONOPARENTAL'!D14*90%+'SIMULATEUR FOYER MONOPARENTAL'!D15</f>
        <v>96.3</v>
      </c>
      <c r="F34" s="28"/>
      <c r="G34" s="24"/>
      <c r="H34" s="98"/>
      <c r="I34" s="98"/>
      <c r="J34" s="87"/>
      <c r="K34" s="70"/>
      <c r="N34"/>
    </row>
    <row r="35" spans="2:14" ht="15" x14ac:dyDescent="0.25">
      <c r="B35" s="61"/>
      <c r="C35" s="12"/>
      <c r="D35" s="12"/>
      <c r="E35" s="28">
        <f>ROUNDUP(E34,0)*2</f>
        <v>194</v>
      </c>
      <c r="F35" s="28"/>
      <c r="G35" s="24"/>
      <c r="H35" s="98"/>
      <c r="I35" s="98"/>
      <c r="J35" s="87"/>
      <c r="K35" s="70"/>
      <c r="N35"/>
    </row>
    <row r="36" spans="2:14" ht="15" x14ac:dyDescent="0.25">
      <c r="B36" s="61" t="s">
        <v>90</v>
      </c>
      <c r="C36" s="12"/>
      <c r="D36" s="12"/>
      <c r="E36" s="28">
        <f>'SIMULATEUR FOYER MONOPARENTAL'!D18*30.69%*(1-((-'SIMULATEUR FOYER MONOPARENTAL'!D33/('SIMULATEUR FOYER MONOPARENTAL'!D31-'SIMULATEUR FOYER MONOPARENTAL'!D30))))</f>
        <v>178.11</v>
      </c>
      <c r="F36" s="28"/>
      <c r="G36" s="24"/>
      <c r="H36" s="98"/>
      <c r="I36" s="98"/>
      <c r="J36" s="87"/>
      <c r="K36" s="70"/>
      <c r="M36" s="7">
        <f>E19*12.8%</f>
        <v>212.25216</v>
      </c>
      <c r="N36"/>
    </row>
    <row r="37" spans="2:14" ht="15" x14ac:dyDescent="0.25">
      <c r="B37" s="61" t="s">
        <v>91</v>
      </c>
      <c r="C37" s="12"/>
      <c r="D37" s="12"/>
      <c r="E37" s="28">
        <f>IF(E35&gt;E36,E36,E35)</f>
        <v>178.11</v>
      </c>
      <c r="F37" s="28"/>
      <c r="G37" s="24"/>
      <c r="H37" s="98"/>
      <c r="I37" s="98">
        <f>(174+34)*90%</f>
        <v>187.2</v>
      </c>
      <c r="J37" s="87"/>
      <c r="K37" s="70"/>
      <c r="M37" s="7" t="e">
        <f>-E47/E26</f>
        <v>#DIV/0!</v>
      </c>
      <c r="N37"/>
    </row>
    <row r="38" spans="2:14" ht="15" x14ac:dyDescent="0.25">
      <c r="B38" s="61"/>
      <c r="C38" s="12"/>
      <c r="D38" s="12"/>
      <c r="E38" s="28"/>
      <c r="F38" s="28"/>
      <c r="G38" s="24"/>
      <c r="H38" s="98"/>
      <c r="I38" s="98">
        <f>187*0.75</f>
        <v>140.25</v>
      </c>
      <c r="J38" s="87"/>
      <c r="K38" s="70"/>
      <c r="M38" s="7" t="e">
        <f>M36*M37</f>
        <v>#DIV/0!</v>
      </c>
      <c r="N38"/>
    </row>
    <row r="39" spans="2:14" ht="15" x14ac:dyDescent="0.25">
      <c r="B39" s="61"/>
      <c r="C39" s="12"/>
      <c r="D39" s="12"/>
      <c r="E39" s="28">
        <f>'SIMULATEUR FOYER MONOPARENTAL'!D18*30.69%</f>
        <v>356.22</v>
      </c>
      <c r="F39" s="28"/>
      <c r="G39" s="24"/>
      <c r="H39" s="98"/>
      <c r="I39" s="98"/>
      <c r="J39" s="87"/>
      <c r="K39" s="70"/>
      <c r="N39"/>
    </row>
    <row r="40" spans="2:14" ht="15" x14ac:dyDescent="0.25">
      <c r="B40" s="61"/>
      <c r="C40" s="12"/>
      <c r="D40" s="12"/>
      <c r="E40" s="28">
        <v>181</v>
      </c>
      <c r="F40" s="28"/>
      <c r="G40" s="24"/>
      <c r="H40" s="98"/>
      <c r="I40" s="98"/>
      <c r="J40" s="87"/>
      <c r="K40" s="70"/>
      <c r="N40"/>
    </row>
    <row r="41" spans="2:14" ht="15" x14ac:dyDescent="0.25">
      <c r="B41" s="61"/>
      <c r="C41" s="12"/>
      <c r="D41" s="12"/>
      <c r="E41" s="28"/>
      <c r="F41" s="28"/>
      <c r="G41" s="24"/>
      <c r="H41" s="98"/>
      <c r="I41" s="98">
        <v>94.01</v>
      </c>
      <c r="J41" s="87"/>
      <c r="K41" s="70"/>
      <c r="N41"/>
    </row>
    <row r="42" spans="2:14" ht="15" x14ac:dyDescent="0.25">
      <c r="B42" s="171" t="s">
        <v>92</v>
      </c>
      <c r="C42" s="12"/>
      <c r="D42" s="12"/>
      <c r="E42" s="28"/>
      <c r="F42" s="28"/>
      <c r="G42" s="24"/>
      <c r="H42" s="98"/>
      <c r="I42" s="98"/>
      <c r="J42" s="87"/>
      <c r="K42" s="70"/>
      <c r="N42"/>
    </row>
    <row r="43" spans="2:14" ht="15" x14ac:dyDescent="0.25">
      <c r="B43" s="61"/>
      <c r="C43" s="12"/>
      <c r="D43" s="12"/>
      <c r="E43" s="28"/>
      <c r="F43" s="28"/>
      <c r="G43" s="24"/>
      <c r="H43" s="98"/>
      <c r="I43" s="98"/>
      <c r="J43" s="87"/>
      <c r="K43" s="70"/>
      <c r="N43"/>
    </row>
    <row r="44" spans="2:14" ht="15" x14ac:dyDescent="0.25">
      <c r="B44" s="61"/>
      <c r="C44" s="12"/>
      <c r="D44" s="12"/>
      <c r="E44" s="28"/>
      <c r="F44" s="28"/>
      <c r="G44" s="24"/>
      <c r="H44" s="98"/>
      <c r="I44" s="98"/>
      <c r="J44" s="87"/>
      <c r="K44" s="70"/>
      <c r="N44"/>
    </row>
    <row r="45" spans="2:14" ht="15" x14ac:dyDescent="0.25">
      <c r="B45" s="61"/>
      <c r="C45" s="12"/>
      <c r="D45" s="12"/>
      <c r="E45" s="28"/>
      <c r="F45" s="28"/>
      <c r="G45" s="24"/>
      <c r="H45" s="98"/>
      <c r="I45" s="98"/>
      <c r="J45" s="87"/>
      <c r="K45" s="70"/>
      <c r="N45"/>
    </row>
    <row r="46" spans="2:14" ht="15" x14ac:dyDescent="0.25">
      <c r="B46" s="92" t="s">
        <v>6</v>
      </c>
      <c r="C46" s="62"/>
      <c r="D46" s="62"/>
      <c r="E46" s="32"/>
      <c r="F46" s="32"/>
      <c r="G46" s="27"/>
      <c r="H46" s="32"/>
      <c r="I46" s="70"/>
      <c r="J46" s="91"/>
      <c r="K46" s="70"/>
      <c r="N46"/>
    </row>
    <row r="47" spans="2:14" ht="15" x14ac:dyDescent="0.25">
      <c r="B47" s="93" t="s">
        <v>72</v>
      </c>
      <c r="C47" s="94"/>
      <c r="D47" s="95"/>
      <c r="E47" s="34">
        <f>IF(E4="oui",IF(Feuil2!C7&gt;E26*50%,-E26*50%,-Feuil2!C7),IF(Feuil2!E7&gt;E26*50%,-E26*50%,-Feuil2!E7))</f>
        <v>0</v>
      </c>
      <c r="F47" s="34"/>
      <c r="G47" s="52"/>
      <c r="H47" s="96">
        <f>IF(H14&lt;=Feuil2!C30,-H26,0)</f>
        <v>0</v>
      </c>
      <c r="I47" s="96">
        <f>IF(I14&lt;=Feuil2!C30,-I26,0)</f>
        <v>0</v>
      </c>
      <c r="J47" s="19"/>
      <c r="K47" s="70"/>
      <c r="N47"/>
    </row>
    <row r="48" spans="2:14" ht="15" x14ac:dyDescent="0.25">
      <c r="B48" s="56"/>
      <c r="C48" s="55"/>
      <c r="D48" s="55"/>
      <c r="E48" s="35">
        <f>IF(AND($E$3=1,$E$4="oui"),IF($E$7&lt;Feuil2!$A$10,Feuil2!$E$10,IF($E$7&gt;Feuil2!$A$12,Feuil2!$E$12,Feuil2!$E$11)),0)</f>
        <v>385.84</v>
      </c>
      <c r="F48" s="35">
        <f>IF(AND(E3=1,E4="oui"),IF(E7&lt;Feuil2!A10,Feuil2!G10,IF(E7&gt;Feuil2!A12,Feuil2!G12,Feuil2!G11)),0)</f>
        <v>964.52</v>
      </c>
      <c r="G48" s="37"/>
      <c r="H48" s="35">
        <f>IF(AND($E$3=1,$E$4="oui"),IF($E$7&lt;Feuil2!$A$10,Feuil2!$E$10,IF($E$7&gt;Feuil2!$A$12,Feuil2!$E$12,Feuil2!$E$11)),0)</f>
        <v>385.84</v>
      </c>
      <c r="I48" s="35">
        <f>IF(AND($E$3=1,$E$4="oui"),IF($E$7&lt;Feuil2!$A$10,Feuil2!$E$10,IF($E$7&gt;Feuil2!$A$12,Feuil2!$E$12,Feuil2!$E$11)),0)</f>
        <v>385.84</v>
      </c>
      <c r="J48" s="97"/>
      <c r="K48" s="98"/>
      <c r="N48"/>
    </row>
    <row r="49" spans="2:14" ht="15" x14ac:dyDescent="0.25">
      <c r="B49" s="56"/>
      <c r="C49" s="55"/>
      <c r="D49" s="55"/>
      <c r="E49" s="35">
        <f>IF(AND($E$3=1,$E$4="non"),IF($E$7&lt;Feuil2!$A$10,Feuil2!$F$10,IF($E$7&gt;Feuil2!$A$12,Feuil2!$F$12,Feuil2!$F$11)),0)</f>
        <v>0</v>
      </c>
      <c r="F49" s="35">
        <f>IF(AND(E3=1,E4="non"),IF(E7&lt;Feuil2!A10,Feuil2!H10,IF(E7&gt;Feuil2!A12,Feuil2!H12,Feuil2!H11)),0)</f>
        <v>0</v>
      </c>
      <c r="G49" s="37"/>
      <c r="H49" s="35">
        <f>IF(AND($E$3=1,$E$4="non"),IF($E$7&lt;Feuil2!$A$10,Feuil2!$F$10,IF($E$7&gt;Feuil2!$A$12,Feuil2!$F$12,Feuil2!$F$11)),0)</f>
        <v>0</v>
      </c>
      <c r="I49" s="35">
        <f>IF(AND($E$3=1,$E$4="non"),IF($E$7&lt;Feuil2!$A$10,Feuil2!$F$10,IF($E$7&gt;Feuil2!$A$12,Feuil2!$F$12,Feuil2!$F$11)),0)</f>
        <v>0</v>
      </c>
      <c r="J49" s="97"/>
      <c r="K49" s="98"/>
      <c r="N49"/>
    </row>
    <row r="50" spans="2:14" ht="15" x14ac:dyDescent="0.25">
      <c r="B50" s="56"/>
      <c r="C50" s="55"/>
      <c r="D50" s="55"/>
      <c r="E50" s="35">
        <f>IF(AND($E$3=2,$E$4="oui"),IF($E$7&lt;Feuil2!$B$10,Feuil2!$E$10,IF($E$7&gt;Feuil2!$B$12,Feuil2!$E$12,Feuil2!$E$11)),0)</f>
        <v>0</v>
      </c>
      <c r="F50" s="35">
        <f>IF(AND(E3=2,E4="oui"),IF(E7&lt;Feuil2!B10,Feuil2!G10,IF(E7&gt;Feuil2!B12,Feuil2!G12,Feuil2!G11)),0)</f>
        <v>0</v>
      </c>
      <c r="G50" s="37"/>
      <c r="H50" s="35">
        <f>IF(AND($E$3=2,$E$4="oui"),IF($E$7&lt;Feuil2!$B$10,Feuil2!$E$10,IF($E$7&gt;Feuil2!$B$12,Feuil2!$E$12,Feuil2!$E$11)),0)</f>
        <v>0</v>
      </c>
      <c r="I50" s="35">
        <f>IF(AND($E$3=2,$E$4="oui"),IF($E$7&lt;Feuil2!$B$10,Feuil2!$E$10,IF($E$7&gt;Feuil2!$B$12,Feuil2!$E$12,Feuil2!$E$11)),0)</f>
        <v>0</v>
      </c>
      <c r="J50" s="97"/>
      <c r="K50" s="98"/>
      <c r="N50"/>
    </row>
    <row r="51" spans="2:14" ht="15" x14ac:dyDescent="0.25">
      <c r="B51" s="56"/>
      <c r="C51" s="55"/>
      <c r="D51" s="55"/>
      <c r="E51" s="35">
        <f>IF(AND($E$3=2,$E$4="non"),IF($E$7&lt;Feuil2!$B$10,Feuil2!$F$10,IF($E$7&gt;Feuil2!$B$12,Feuil2!$F$12,Feuil2!$F$11)),0)</f>
        <v>0</v>
      </c>
      <c r="F51" s="35">
        <f>IF(AND(E3=2,E4="non"),IF(E7&lt;Feuil2!B10,Feuil2!H10,IF(E7&gt;Feuil2!B12,Feuil2!H12,Feuil2!H11)),0)</f>
        <v>0</v>
      </c>
      <c r="G51" s="37"/>
      <c r="H51" s="35">
        <f>IF(AND($E$3=2,$E$4="non"),IF($E$7&lt;Feuil2!$B$10,Feuil2!$F$10,IF($E$7&gt;Feuil2!$B$12,Feuil2!$F$12,Feuil2!$F$11)),0)</f>
        <v>0</v>
      </c>
      <c r="I51" s="35">
        <f>IF(AND($E$3=2,$E$4="non"),IF($E$7&lt;Feuil2!$B$10,Feuil2!$F$10,IF($E$7&gt;Feuil2!$B$12,Feuil2!$F$12,Feuil2!$F$11)),0)</f>
        <v>0</v>
      </c>
      <c r="J51" s="97"/>
      <c r="K51" s="98"/>
      <c r="N51"/>
    </row>
    <row r="52" spans="2:14" ht="15" x14ac:dyDescent="0.25">
      <c r="B52" s="56"/>
      <c r="C52" s="55"/>
      <c r="D52" s="55"/>
      <c r="E52" s="35">
        <f>IF(AND($E$3=3,$E$4="oui"),IF($E$7&lt;Feuil2!$C$10,Feuil2!$E$10,IF($E$7&gt;Feuil2!$C$12,Feuil2!$E$12,Feuil2!$E$11)),0)</f>
        <v>0</v>
      </c>
      <c r="F52" s="35">
        <f>IF(AND(E3=3,E4="oui"),IF(E7&lt;Feuil2!C10,Feuil2!G10,IF(E7&gt;Feuil2!C12,Feuil2!G12,Feuil2!G11)),0)</f>
        <v>0</v>
      </c>
      <c r="G52" s="37"/>
      <c r="H52" s="35">
        <f>IF(AND($E$3=3,$E$4="oui"),IF($E$7&lt;Feuil2!$C$10,Feuil2!$E$10,IF($E$7&gt;Feuil2!$C$12,Feuil2!$E$12,Feuil2!$E$11)),0)</f>
        <v>0</v>
      </c>
      <c r="I52" s="35">
        <f>IF(AND($E$3=3,$E$4="oui"),IF($E$7&lt;Feuil2!$C$10,Feuil2!$E$10,IF($E$7&gt;Feuil2!$C$12,Feuil2!$E$12,Feuil2!$E$11)),0)</f>
        <v>0</v>
      </c>
      <c r="J52" s="97"/>
      <c r="K52" s="98"/>
      <c r="N52"/>
    </row>
    <row r="53" spans="2:14" ht="15" x14ac:dyDescent="0.25">
      <c r="B53" s="56"/>
      <c r="C53" s="55"/>
      <c r="D53" s="55"/>
      <c r="E53" s="35">
        <f>IF(AND($E$3=3,$E$4="non"),IF($E$7&lt;Feuil2!$C$10,Feuil2!$F$10,IF($E$7&gt;Feuil2!$C$12,Feuil2!$F$12,Feuil2!$F$11)),0)</f>
        <v>0</v>
      </c>
      <c r="F53" s="35">
        <f>IF(AND(E3=3,E4="non"),IF(E7&lt;Feuil2!C10,Feuil2!H10,IF(E7&gt;Feuil2!C12,Feuil2!H12,Feuil2!H11)),0)</f>
        <v>0</v>
      </c>
      <c r="G53" s="37"/>
      <c r="H53" s="35">
        <f>IF(AND($E$3=3,$E$4="non"),IF($E$7&lt;Feuil2!$C$10,Feuil2!$F$10,IF($E$7&gt;Feuil2!$C$12,Feuil2!$F$12,Feuil2!$F$11)),0)</f>
        <v>0</v>
      </c>
      <c r="I53" s="35">
        <f>IF(AND($E$3=3,$E$4="non"),IF($E$7&lt;Feuil2!$C$10,Feuil2!$F$10,IF($E$7&gt;Feuil2!$C$12,Feuil2!$F$12,Feuil2!$F$11)),0)</f>
        <v>0</v>
      </c>
      <c r="J53" s="97"/>
      <c r="K53" s="98"/>
      <c r="N53"/>
    </row>
    <row r="54" spans="2:14" ht="15" x14ac:dyDescent="0.25">
      <c r="B54" s="56"/>
      <c r="C54" s="55"/>
      <c r="D54" s="55"/>
      <c r="E54" s="35">
        <f>IF(AND($E$3&gt;=4,$E$4="oui"),IF($E$7&lt;Feuil2!$D$10,Feuil2!$E$10,IF($E$7&gt;Feuil2!$D$12,Feuil2!$E$12,Feuil2!$E$11)),0)</f>
        <v>0</v>
      </c>
      <c r="F54" s="35">
        <f>IF(AND($E$3&gt;=4,$E$4="oui"),IF($E$7&lt;Feuil2!$D$10,Feuil2!$G$10,IF($E$7&gt;Feuil2!$D$12,Feuil2!$G$12,Feuil2!$G$11)),0)</f>
        <v>0</v>
      </c>
      <c r="G54" s="37"/>
      <c r="H54" s="35">
        <f>IF(AND($E$3&gt;=4,$E$4="oui"),IF($E$7&lt;Feuil2!$D$10,Feuil2!$E$10,IF($E$7&gt;Feuil2!$D$12,Feuil2!$E$12,Feuil2!$E$11)),0)</f>
        <v>0</v>
      </c>
      <c r="I54" s="35">
        <f>IF(AND($E$3&gt;=4,$E$4="oui"),IF($E$7&lt;Feuil2!$D$10,Feuil2!$E$10,IF($E$7&gt;Feuil2!$D$12,Feuil2!$E$12,Feuil2!$E$11)),0)</f>
        <v>0</v>
      </c>
      <c r="J54" s="97"/>
      <c r="K54" s="98"/>
      <c r="N54"/>
    </row>
    <row r="55" spans="2:14" ht="15" x14ac:dyDescent="0.25">
      <c r="B55" s="56"/>
      <c r="C55" s="55"/>
      <c r="D55" s="55"/>
      <c r="E55" s="35">
        <f>IF(AND($E$3&gt;=4,$E$4="NON"),IF($E$7&lt;Feuil2!$D$10,Feuil2!$F$10,IF($E$7&gt;Feuil2!$D$12,Feuil2!$F$12,Feuil2!$F$11)),0)</f>
        <v>0</v>
      </c>
      <c r="F55" s="35">
        <f>IF(AND($E$3&gt;=4,$E$4="NON"),IF($E$7&lt;Feuil2!$D$10,Feuil2!$H$10,IF($E$7&gt;Feuil2!$D$12,Feuil2!$H$12,Feuil2!$H$11)),0)</f>
        <v>0</v>
      </c>
      <c r="G55" s="37"/>
      <c r="H55" s="35">
        <f>IF(AND($E$3&gt;=4,$E$4="NON"),IF($E$7&lt;Feuil2!$D$10,Feuil2!$F$10,IF($E$7&gt;Feuil2!$D$12,Feuil2!$F$12,Feuil2!$F$11)),0)</f>
        <v>0</v>
      </c>
      <c r="I55" s="35">
        <f>IF(AND($E$3&gt;=4,$E$4="NON"),IF($E$7&lt;Feuil2!$D$10,Feuil2!$F$10,IF($E$7&gt;Feuil2!$D$12,Feuil2!$F$12,Feuil2!$F$11)),0)</f>
        <v>0</v>
      </c>
      <c r="J55" s="97"/>
      <c r="K55" s="98"/>
      <c r="N55"/>
    </row>
    <row r="56" spans="2:14" ht="15" x14ac:dyDescent="0.25">
      <c r="B56" s="56"/>
      <c r="C56" s="55"/>
      <c r="D56" s="55"/>
      <c r="E56" s="35"/>
      <c r="F56" s="35">
        <f>IF( F16&gt;=16,(F48+F49+F50+F51+F52+F53+F54+F55),0)</f>
        <v>964.52</v>
      </c>
      <c r="G56" s="37"/>
      <c r="H56" s="35"/>
      <c r="I56" s="99"/>
      <c r="J56" s="97"/>
      <c r="K56" s="98"/>
      <c r="N56"/>
    </row>
    <row r="57" spans="2:14" ht="15" x14ac:dyDescent="0.25">
      <c r="C57" s="55"/>
      <c r="D57" s="55"/>
      <c r="G57" s="97"/>
      <c r="H57" s="99">
        <f>IF(H28*85%&lt;(H48+H49+H50+H51+H52+H53+H54+H55),-H28*85%,-(H48+H49+H50+H51+H52+H53+H54+H55))</f>
        <v>-74.8</v>
      </c>
      <c r="I57" s="99">
        <f>IF(I28*85%&lt;(I48+I49+I50+I51+I52+I53+I54+I55),-I28*85%,-(I48+I49+I50+I51+I52+I53+I54+I55))</f>
        <v>-385.84</v>
      </c>
      <c r="J57" s="97"/>
      <c r="K57" s="98"/>
      <c r="N57"/>
    </row>
    <row r="58" spans="2:14" ht="15" x14ac:dyDescent="0.25">
      <c r="B58" s="56" t="s">
        <v>8</v>
      </c>
      <c r="C58" s="12"/>
      <c r="D58" s="12"/>
      <c r="E58" s="99">
        <f>IF(E28*85%&lt;(E48+E49+E50+E51+E52+E53+E54+E55),-E28*85%,-(E48+E49+E50+E51+E52+E53+E54+E55))</f>
        <v>-385.84</v>
      </c>
      <c r="F58" s="99">
        <f>IF(F19*85%&lt;F56,-F19*85%,-F56)</f>
        <v>-964.52</v>
      </c>
      <c r="G58" s="97"/>
      <c r="H58" s="96">
        <f>IF(H14&lt;=Feuil2!C30,H57,0)</f>
        <v>-74.8</v>
      </c>
      <c r="I58" s="96">
        <f>IF(I14&lt;=Feuil2!C30,I57,0)</f>
        <v>-385.84</v>
      </c>
      <c r="J58" s="97"/>
      <c r="K58" s="98"/>
      <c r="N58"/>
    </row>
    <row r="59" spans="2:14" ht="15" x14ac:dyDescent="0.25">
      <c r="B59" s="61"/>
      <c r="C59" s="12"/>
      <c r="D59" s="12"/>
      <c r="E59" s="36">
        <f>IF((E3=1),IF(E6/12&lt;=Feuil2!A16,Feuil2!B16,IF(E6/12&gt;Feuil2!A18,Feuil2!B18,Feuil2!B17)),0)</f>
        <v>0</v>
      </c>
      <c r="F59" s="36">
        <f>IF((E3=1),IF(E6/12&lt;=Feuil2!A16,Feuil2!B16,IF(E6/12&gt;Feuil2!A18,Feuil2!B18,Feuil2!B17)),0)</f>
        <v>0</v>
      </c>
      <c r="G59" s="37"/>
      <c r="H59" s="36"/>
      <c r="I59" s="96"/>
      <c r="J59" s="97"/>
      <c r="K59" s="98"/>
      <c r="N59"/>
    </row>
    <row r="60" spans="2:14" ht="15" x14ac:dyDescent="0.25">
      <c r="B60" s="61"/>
      <c r="C60" s="12"/>
      <c r="D60" s="12"/>
      <c r="E60" s="36">
        <f>IF((E3=2),IF(E6/12&lt;=Feuil2!C16,Feuil2!D16,IF(E6/12&gt;Feuil2!C18,Feuil2!D18,Feuil2!D17)),0)</f>
        <v>0</v>
      </c>
      <c r="F60" s="36">
        <f>IF((E3=2),IF(E6/12&lt;=Feuil2!C16,Feuil2!D16,IF(E6/12&gt;Feuil2!C18,Feuil2!D18,Feuil2!D17)),0)</f>
        <v>0</v>
      </c>
      <c r="G60" s="37"/>
      <c r="H60" s="36"/>
      <c r="I60" s="99"/>
      <c r="J60" s="97"/>
      <c r="K60" s="98"/>
      <c r="N60"/>
    </row>
    <row r="61" spans="2:14" ht="15" x14ac:dyDescent="0.25">
      <c r="B61" s="61"/>
      <c r="C61" s="12"/>
      <c r="D61" s="12"/>
      <c r="E61" s="36">
        <f>IF((E3&gt;=3),IF(E6/12&lt;=Feuil2!E16,Feuil2!F16,0),0)</f>
        <v>0</v>
      </c>
      <c r="F61" s="36">
        <f>IF(($E$3&gt;=3),IF(E6/12&lt;=Feuil2!E16,Feuil2!F16,0),0)</f>
        <v>0</v>
      </c>
      <c r="G61" s="37"/>
      <c r="H61" s="36"/>
      <c r="I61" s="35"/>
      <c r="J61" s="97"/>
      <c r="K61" s="98"/>
      <c r="N61"/>
    </row>
    <row r="62" spans="2:14" ht="15" x14ac:dyDescent="0.25">
      <c r="B62" s="56"/>
      <c r="C62" s="55"/>
      <c r="D62" s="55"/>
      <c r="E62" s="36">
        <f>SUM(E59:E61)</f>
        <v>0</v>
      </c>
      <c r="F62" s="36">
        <f>SUM(F59:F61)</f>
        <v>0</v>
      </c>
      <c r="G62" s="37"/>
      <c r="H62" s="36"/>
      <c r="I62" s="99"/>
      <c r="J62" s="37"/>
      <c r="K62" s="70"/>
      <c r="N62"/>
    </row>
    <row r="63" spans="2:14" ht="15" x14ac:dyDescent="0.25">
      <c r="B63" s="61"/>
      <c r="C63" s="55"/>
      <c r="D63" s="55"/>
      <c r="E63" s="35"/>
      <c r="F63" s="35"/>
      <c r="G63" s="37"/>
      <c r="H63" s="36"/>
      <c r="I63" s="100"/>
      <c r="J63" s="97"/>
      <c r="K63" s="70"/>
      <c r="N63"/>
    </row>
    <row r="64" spans="2:14" ht="15" x14ac:dyDescent="0.25">
      <c r="B64" s="102"/>
      <c r="C64" s="55"/>
      <c r="D64" s="103"/>
      <c r="E64" s="38">
        <f>IF(E5="non",IF((E16+E17)&lt;120,0,-E62),IF((E16+E17)&lt;60,0,-E62/2))</f>
        <v>0</v>
      </c>
      <c r="F64" s="38">
        <f>IF(E5="non",IF((F16+F17)&lt;120,0,-F62),IF((F16+F17)&lt;60,0,-F62/2))</f>
        <v>0</v>
      </c>
      <c r="G64" s="52"/>
      <c r="H64" s="39"/>
      <c r="I64" s="100"/>
      <c r="J64" s="101"/>
      <c r="K64" s="70"/>
      <c r="N64"/>
    </row>
    <row r="65" spans="2:14" ht="15" x14ac:dyDescent="0.25">
      <c r="B65" s="61"/>
      <c r="C65" s="12"/>
      <c r="D65" s="104"/>
      <c r="E65" s="39" t="e">
        <f>IF(E10="oui",E64,0)</f>
        <v>#REF!</v>
      </c>
      <c r="F65" s="39" t="e">
        <f>IF(E10="oui",F64,0)</f>
        <v>#REF!</v>
      </c>
      <c r="G65" s="52"/>
      <c r="H65" s="39"/>
      <c r="I65" s="100"/>
      <c r="J65" s="101"/>
      <c r="K65" s="70"/>
      <c r="N65"/>
    </row>
    <row r="66" spans="2:14" ht="15" x14ac:dyDescent="0.25">
      <c r="B66" s="102" t="s">
        <v>59</v>
      </c>
      <c r="C66" s="11"/>
      <c r="D66" s="105"/>
      <c r="E66" s="34" t="e">
        <f>IF(E4="oui",E65,0)</f>
        <v>#REF!</v>
      </c>
      <c r="F66" s="34" t="e">
        <f>IF(E4="oui",F65,0)</f>
        <v>#REF!</v>
      </c>
      <c r="G66" s="52"/>
      <c r="H66" s="39"/>
      <c r="I66" s="100"/>
      <c r="J66" s="101"/>
      <c r="K66" s="70"/>
      <c r="N66"/>
    </row>
    <row r="67" spans="2:14" ht="15" x14ac:dyDescent="0.25">
      <c r="B67" s="61"/>
      <c r="C67" s="106"/>
      <c r="D67" s="107"/>
      <c r="E67" s="40"/>
      <c r="F67" s="40"/>
      <c r="G67" s="27"/>
      <c r="H67" s="40"/>
      <c r="I67" s="108"/>
      <c r="J67" s="101"/>
      <c r="K67" s="109">
        <f>IF((E3=1),IF(E6/12*Feuil2!D37&gt;Feuil2!B37,Feuil2!B37*K15,IF(E6/12*Feuil2!D37&lt;Feuil2!C37,Feuil2!C37*K15,E7/12*Feuil2!D37*K15)),0)</f>
        <v>103.78</v>
      </c>
      <c r="N67"/>
    </row>
    <row r="68" spans="2:14" ht="15" x14ac:dyDescent="0.25">
      <c r="B68" s="110"/>
      <c r="C68" s="106"/>
      <c r="D68" s="107"/>
      <c r="E68" s="40"/>
      <c r="F68" s="40"/>
      <c r="G68" s="27"/>
      <c r="H68" s="40"/>
      <c r="I68" s="108"/>
      <c r="J68" s="19"/>
      <c r="K68" s="109">
        <f>IF((E3=2),IF(E6/12*Feuil2!D38&gt;Feuil2!B38,Feuil2!B38*K15,IF(E6/12*Feuil2!D38&lt;Feuil2!C38,Feuil2!C38*K15,E7/12*Feuil2!D38*K15)),0)</f>
        <v>0</v>
      </c>
      <c r="N68"/>
    </row>
    <row r="69" spans="2:14" x14ac:dyDescent="0.2">
      <c r="B69" s="110"/>
      <c r="C69" s="106"/>
      <c r="D69" s="107"/>
      <c r="E69" s="40"/>
      <c r="F69" s="40"/>
      <c r="G69" s="27"/>
      <c r="H69" s="40"/>
      <c r="I69" s="108"/>
      <c r="J69" s="19"/>
      <c r="K69" s="109">
        <f>IF((E3=3),IF(E6/12*Feuil2!D39&gt;Feuil2!B39,Feuil2!B39*K15,IF(E6/12*Feuil2!D39&lt;Feuil2!C39,Feuil2!C39*K15,E7/12*Feuil2!D39*K15)),0)</f>
        <v>0</v>
      </c>
    </row>
    <row r="70" spans="2:14" x14ac:dyDescent="0.2">
      <c r="B70" s="110"/>
      <c r="C70" s="106"/>
      <c r="D70" s="107"/>
      <c r="E70" s="40"/>
      <c r="F70" s="40"/>
      <c r="G70" s="27"/>
      <c r="H70" s="40"/>
      <c r="I70" s="108"/>
      <c r="J70" s="19"/>
      <c r="K70" s="109">
        <f>IF((E3&gt;3),IF(E6/12*Feuil2!D40&gt;Feuil2!B40,Feuil2!B40*K15,IF(E6/12*Feuil2!D40&lt;Feuil2!C40,Feuil2!C40*K15,E7/12*Feuil2!D40*K15)),0)</f>
        <v>0</v>
      </c>
    </row>
    <row r="71" spans="2:14" x14ac:dyDescent="0.2">
      <c r="B71" s="110" t="s">
        <v>18</v>
      </c>
      <c r="C71" s="106"/>
      <c r="D71" s="107"/>
      <c r="E71" s="40"/>
      <c r="F71" s="40"/>
      <c r="G71" s="27"/>
      <c r="H71" s="40"/>
      <c r="I71" s="108"/>
      <c r="J71" s="19"/>
      <c r="K71" s="111">
        <f>SUM(K67:K70)</f>
        <v>103.78</v>
      </c>
    </row>
    <row r="72" spans="2:14" x14ac:dyDescent="0.2">
      <c r="B72" s="112" t="s">
        <v>42</v>
      </c>
      <c r="C72" s="113"/>
      <c r="D72" s="88"/>
      <c r="E72" s="26" t="e">
        <f>E32+E47+E58+E66+D84</f>
        <v>#REF!</v>
      </c>
      <c r="F72" s="26">
        <f>F19+F58+F64</f>
        <v>1435.48</v>
      </c>
      <c r="G72" s="27"/>
      <c r="H72" s="26">
        <f>H32+H47+H57</f>
        <v>13.2</v>
      </c>
      <c r="I72" s="26">
        <f>I32+I47+I57</f>
        <v>729.12</v>
      </c>
      <c r="J72" s="19"/>
      <c r="K72" s="114">
        <f>K71</f>
        <v>103.78</v>
      </c>
    </row>
    <row r="73" spans="2:14" x14ac:dyDescent="0.2">
      <c r="B73" s="61" t="s">
        <v>60</v>
      </c>
      <c r="C73" s="12"/>
      <c r="D73" s="12"/>
      <c r="E73" s="44">
        <f>'SIMULATEUR FOYER MONOPARENTAL'!D59</f>
        <v>0</v>
      </c>
      <c r="F73" s="44">
        <f>'SIMULATEUR FOYER MONOPARENTAL'!E59</f>
        <v>0</v>
      </c>
      <c r="G73" s="41"/>
      <c r="H73" s="41"/>
      <c r="I73" s="70"/>
      <c r="J73" s="87"/>
      <c r="K73" s="70"/>
    </row>
    <row r="74" spans="2:14" x14ac:dyDescent="0.2">
      <c r="B74" s="71" t="s">
        <v>34</v>
      </c>
      <c r="C74" s="72"/>
      <c r="D74" s="72"/>
      <c r="E74" s="26" t="e">
        <f>E72*12+E73*12-E30</f>
        <v>#REF!</v>
      </c>
      <c r="F74" s="26">
        <f>F72*12+F73</f>
        <v>17225.759999999998</v>
      </c>
      <c r="G74" s="27"/>
      <c r="H74" s="114">
        <f>H72*12-H20*H15</f>
        <v>158.4</v>
      </c>
      <c r="I74" s="114">
        <f>I72*12-I20*I15</f>
        <v>8682.7800000000007</v>
      </c>
      <c r="J74" s="19"/>
      <c r="K74" s="114">
        <f>K72*11</f>
        <v>1141.58</v>
      </c>
    </row>
    <row r="75" spans="2:14" x14ac:dyDescent="0.2">
      <c r="B75" s="66"/>
      <c r="C75" s="12"/>
      <c r="D75" s="12"/>
      <c r="E75" s="32"/>
      <c r="F75" s="32"/>
      <c r="G75" s="27"/>
      <c r="H75" s="116">
        <f>H74-((H20-2.65)*H15*11)</f>
        <v>799.7</v>
      </c>
      <c r="I75" s="116">
        <f>I74-((I20-2.65)*I15*11)</f>
        <v>8590.82</v>
      </c>
      <c r="J75" s="115"/>
      <c r="K75" s="116"/>
    </row>
    <row r="76" spans="2:14" x14ac:dyDescent="0.2">
      <c r="B76" s="117" t="s">
        <v>7</v>
      </c>
      <c r="C76" s="106"/>
      <c r="D76" s="106"/>
      <c r="E76" s="50">
        <f>E9</f>
        <v>4000</v>
      </c>
      <c r="F76" s="50">
        <f>E9</f>
        <v>4000</v>
      </c>
      <c r="G76" s="24"/>
      <c r="H76" s="50">
        <f>E9</f>
        <v>4000</v>
      </c>
      <c r="I76" s="50">
        <f>E9</f>
        <v>4000</v>
      </c>
      <c r="J76" s="115"/>
      <c r="K76" s="50">
        <f>E9</f>
        <v>4000</v>
      </c>
    </row>
    <row r="77" spans="2:14" x14ac:dyDescent="0.2">
      <c r="B77" s="57" t="s">
        <v>33</v>
      </c>
      <c r="C77" s="11"/>
      <c r="D77" s="11"/>
      <c r="E77" s="49" t="e">
        <f>IF((E3=1),IF(E74&gt;Feuil2!F21,-Feuil2!F21/2,-(E74-11*E30)/2),IF((E74-11*E30)&gt;Feuil2!F22,-Feuil2!F22/2,-(E74-11*E30)/2))</f>
        <v>#REF!</v>
      </c>
      <c r="F77" s="49">
        <f>IF((E3=1),IF(F74&gt;Feuil2!F21,-Feuil2!F21/2,-F74/2),IF(F74&gt;Feuil2!F22,-Feuil2!F22/2,-F74/2))</f>
        <v>-6750</v>
      </c>
      <c r="G77" s="37"/>
      <c r="H77" s="118">
        <f>IF(H75&gt;Feuil2!C27,-(Feuil2!C27)/2,-H75/2)</f>
        <v>-399.85</v>
      </c>
      <c r="I77" s="118">
        <f>IF(I75&gt;Feuil2!C27,-(Feuil2!C27)/2,-I75/2)</f>
        <v>-1150</v>
      </c>
      <c r="J77" s="24"/>
      <c r="K77" s="118">
        <f>IF(K74&gt;Feuil2!C27,-(Feuil2!C27)/2,-K74/2)</f>
        <v>-570.79</v>
      </c>
    </row>
    <row r="78" spans="2:14" x14ac:dyDescent="0.2">
      <c r="B78" s="61"/>
      <c r="C78" s="55"/>
      <c r="D78" s="55"/>
      <c r="E78" s="35" t="e">
        <f>IF(-E77&gt;E76,E76,-E77)</f>
        <v>#REF!</v>
      </c>
      <c r="F78" s="35">
        <f>IF(-F77&gt;F76,F76,-F77)</f>
        <v>4000</v>
      </c>
      <c r="G78" s="37"/>
      <c r="H78" s="36"/>
      <c r="I78" s="36"/>
      <c r="J78" s="119"/>
      <c r="K78" s="36"/>
    </row>
    <row r="79" spans="2:14" x14ac:dyDescent="0.2">
      <c r="B79" s="102" t="s">
        <v>43</v>
      </c>
      <c r="C79" s="12"/>
      <c r="D79" s="12"/>
      <c r="E79" s="36" t="e">
        <f>-E78</f>
        <v>#REF!</v>
      </c>
      <c r="F79" s="36">
        <f>-F78</f>
        <v>-4000</v>
      </c>
      <c r="G79" s="37"/>
      <c r="H79" s="36"/>
      <c r="I79" s="36"/>
      <c r="J79" s="37"/>
      <c r="K79" s="36"/>
    </row>
    <row r="80" spans="2:14" x14ac:dyDescent="0.2">
      <c r="B80" s="81" t="s">
        <v>68</v>
      </c>
      <c r="C80" s="12"/>
      <c r="D80" s="12"/>
      <c r="E80" s="36" t="e">
        <f>IF(E8="oui",E77,E79)</f>
        <v>#REF!</v>
      </c>
      <c r="F80" s="36">
        <f>IF(E8="oui",F77,F79)</f>
        <v>-6750</v>
      </c>
      <c r="G80" s="37"/>
      <c r="H80" s="36">
        <f>H77</f>
        <v>-399.85</v>
      </c>
      <c r="I80" s="36">
        <f>I77</f>
        <v>-1150</v>
      </c>
      <c r="J80" s="37"/>
      <c r="K80" s="36">
        <f>K77</f>
        <v>-570.79</v>
      </c>
    </row>
    <row r="81" spans="2:11" x14ac:dyDescent="0.2">
      <c r="B81" s="84" t="s">
        <v>40</v>
      </c>
      <c r="C81" s="85"/>
      <c r="D81" s="85"/>
      <c r="E81" s="31" t="e">
        <f>E74+E80</f>
        <v>#REF!</v>
      </c>
      <c r="F81" s="31">
        <f>F74+F80</f>
        <v>10475.76</v>
      </c>
      <c r="G81" s="27"/>
      <c r="H81" s="31">
        <f>H74+H77</f>
        <v>-241.45</v>
      </c>
      <c r="I81" s="31">
        <f>I74+I77</f>
        <v>7532.78</v>
      </c>
      <c r="J81" s="36">
        <f>J78</f>
        <v>0</v>
      </c>
      <c r="K81" s="31">
        <f>K74+K77</f>
        <v>570.79</v>
      </c>
    </row>
    <row r="82" spans="2:11" ht="13.5" thickBot="1" x14ac:dyDescent="0.25">
      <c r="B82" s="120" t="s">
        <v>44</v>
      </c>
      <c r="C82" s="121"/>
      <c r="D82" s="121"/>
      <c r="E82" s="54" t="e">
        <f>E81/12</f>
        <v>#REF!</v>
      </c>
      <c r="F82" s="54">
        <f>F81/12</f>
        <v>872.98</v>
      </c>
      <c r="G82" s="53"/>
      <c r="H82" s="54">
        <f>H81/12</f>
        <v>-20.12</v>
      </c>
      <c r="I82" s="54">
        <f>I81/12</f>
        <v>627.73</v>
      </c>
      <c r="J82" s="27"/>
      <c r="K82" s="54">
        <f>K81/12</f>
        <v>47.57</v>
      </c>
    </row>
    <row r="83" spans="2:11" ht="12.75" x14ac:dyDescent="0.2">
      <c r="B83" s="122"/>
      <c r="D83" s="122"/>
      <c r="E83" s="122"/>
      <c r="F83" s="32"/>
      <c r="G83" s="32"/>
      <c r="H83" s="5"/>
      <c r="I83" s="5"/>
      <c r="J83" s="53"/>
      <c r="K83" s="6"/>
    </row>
    <row r="84" spans="2:11" x14ac:dyDescent="0.2">
      <c r="B84" s="124" t="s">
        <v>73</v>
      </c>
      <c r="D84" s="125">
        <f>-E37</f>
        <v>-178.11</v>
      </c>
      <c r="E84" s="7" t="s">
        <v>75</v>
      </c>
      <c r="F84" s="5"/>
      <c r="G84" s="5"/>
      <c r="H84" s="6"/>
      <c r="I84" s="6"/>
      <c r="J84" s="14"/>
      <c r="K84" s="123" t="s">
        <v>109</v>
      </c>
    </row>
    <row r="85" spans="2:11" x14ac:dyDescent="0.2">
      <c r="B85" s="7" t="s">
        <v>74</v>
      </c>
      <c r="J85" s="19"/>
    </row>
    <row r="86" spans="2:11" x14ac:dyDescent="0.2">
      <c r="B86" s="124" t="s">
        <v>76</v>
      </c>
      <c r="D86" s="126">
        <f>I26+I47</f>
        <v>0</v>
      </c>
      <c r="E86" s="7" t="s">
        <v>77</v>
      </c>
    </row>
    <row r="87" spans="2:11" x14ac:dyDescent="0.2">
      <c r="B87" s="124" t="s">
        <v>76</v>
      </c>
      <c r="D87" s="127">
        <f>H26+H47</f>
        <v>0</v>
      </c>
      <c r="E87" s="7" t="s">
        <v>78</v>
      </c>
    </row>
    <row r="89" spans="2:11" ht="12.75" x14ac:dyDescent="0.2">
      <c r="B89" s="130" t="s">
        <v>83</v>
      </c>
    </row>
    <row r="90" spans="2:11" ht="12.75" x14ac:dyDescent="0.2">
      <c r="B90" s="145" t="s">
        <v>108</v>
      </c>
    </row>
  </sheetData>
  <sheetProtection password="E32B" sheet="1"/>
  <mergeCells count="7">
    <mergeCell ref="N7:O10"/>
    <mergeCell ref="B6:D6"/>
    <mergeCell ref="H12:I12"/>
    <mergeCell ref="B5:D5"/>
    <mergeCell ref="B9:D9"/>
    <mergeCell ref="B7:D7"/>
    <mergeCell ref="E12:F12"/>
  </mergeCells>
  <phoneticPr fontId="16" type="noConversion"/>
  <printOptions horizontalCentered="1"/>
  <pageMargins left="0.25" right="0.27" top="0.43307086614173229" bottom="0.55118110236220474" header="0.43307086614173229" footer="0.51181102362204722"/>
  <pageSetup paperSize="9" orientation="portrait" horizontalDpi="300" verticalDpi="300" r:id="rId1"/>
  <headerFooter alignWithMargins="0"/>
  <ignoredErrors>
    <ignoredError sqref="F3:F4" numberStoredAsText="1"/>
    <ignoredError sqref="E3:E10" unlocked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74"/>
  <sheetViews>
    <sheetView showGridLines="0" showRowColHeaders="0" tabSelected="1" zoomScaleNormal="100" workbookViewId="0">
      <selection activeCell="L15" sqref="L15"/>
    </sheetView>
  </sheetViews>
  <sheetFormatPr baseColWidth="10" defaultColWidth="11.42578125" defaultRowHeight="11.25" x14ac:dyDescent="0.2"/>
  <cols>
    <col min="1" max="1" width="57.140625" style="7" customWidth="1"/>
    <col min="2" max="2" width="2.85546875" style="7" customWidth="1"/>
    <col min="3" max="3" width="11.28515625" style="7" customWidth="1"/>
    <col min="4" max="4" width="15.7109375" style="7" customWidth="1"/>
    <col min="5" max="5" width="16.140625" style="7" customWidth="1"/>
    <col min="6" max="6" width="2.85546875" style="18" customWidth="1"/>
    <col min="7" max="7" width="15.5703125" style="7" customWidth="1"/>
    <col min="8" max="8" width="13.5703125" style="7" customWidth="1"/>
    <col min="9" max="9" width="2.85546875" style="18" customWidth="1"/>
    <col min="10" max="10" width="15.140625" style="7" customWidth="1"/>
    <col min="11" max="11" width="3.28515625" style="7" customWidth="1"/>
    <col min="12" max="16384" width="11.42578125" style="7"/>
  </cols>
  <sheetData>
    <row r="1" spans="1:16" ht="20.100000000000001" customHeight="1" x14ac:dyDescent="0.2">
      <c r="A1" s="180" t="s">
        <v>133</v>
      </c>
      <c r="B1" s="181"/>
      <c r="C1" s="181"/>
      <c r="D1" s="182"/>
      <c r="E1" s="179"/>
      <c r="F1" s="179"/>
      <c r="G1" s="434"/>
      <c r="H1" s="434"/>
      <c r="I1" s="434"/>
      <c r="J1" s="434"/>
      <c r="K1" s="6"/>
    </row>
    <row r="2" spans="1:16" x14ac:dyDescent="0.2">
      <c r="A2" s="183" t="s">
        <v>63</v>
      </c>
      <c r="B2" s="149"/>
      <c r="C2" s="149"/>
      <c r="D2" s="270">
        <v>1</v>
      </c>
      <c r="E2" s="436" t="s">
        <v>134</v>
      </c>
      <c r="F2" s="332"/>
      <c r="G2" s="8"/>
      <c r="H2" s="4"/>
      <c r="I2" s="336"/>
      <c r="J2" s="5"/>
      <c r="K2" s="6"/>
    </row>
    <row r="3" spans="1:16" x14ac:dyDescent="0.2">
      <c r="A3" s="184" t="s">
        <v>64</v>
      </c>
      <c r="B3" s="146"/>
      <c r="C3" s="146"/>
      <c r="D3" s="271" t="s">
        <v>62</v>
      </c>
      <c r="E3" s="435" t="s">
        <v>135</v>
      </c>
      <c r="F3" s="332"/>
      <c r="G3" s="10"/>
      <c r="H3" s="10"/>
      <c r="I3" s="337"/>
      <c r="J3" s="5"/>
      <c r="K3" s="6"/>
    </row>
    <row r="4" spans="1:16" x14ac:dyDescent="0.2">
      <c r="A4" s="489" t="s">
        <v>65</v>
      </c>
      <c r="B4" s="490"/>
      <c r="C4" s="490"/>
      <c r="D4" s="271" t="s">
        <v>62</v>
      </c>
      <c r="E4" s="9"/>
      <c r="F4" s="332"/>
      <c r="G4" s="45"/>
      <c r="H4" s="10"/>
      <c r="I4" s="337"/>
      <c r="J4" s="5"/>
      <c r="K4" s="6"/>
    </row>
    <row r="5" spans="1:16" ht="11.25" customHeight="1" x14ac:dyDescent="0.25">
      <c r="A5" s="489" t="s">
        <v>148</v>
      </c>
      <c r="B5" s="490"/>
      <c r="C5" s="490"/>
      <c r="D5" s="272">
        <v>45000</v>
      </c>
      <c r="E5" s="12"/>
      <c r="F5" s="20"/>
      <c r="G5" s="330"/>
      <c r="J5" s="6"/>
      <c r="K5" s="6"/>
    </row>
    <row r="6" spans="1:16" ht="11.25" customHeight="1" x14ac:dyDescent="0.25">
      <c r="A6" s="489" t="s">
        <v>84</v>
      </c>
      <c r="B6" s="490"/>
      <c r="C6" s="490"/>
      <c r="D6" s="272">
        <v>40500</v>
      </c>
      <c r="E6" s="63"/>
      <c r="F6" s="333"/>
      <c r="G6" s="331"/>
      <c r="J6" s="46"/>
    </row>
    <row r="7" spans="1:16" ht="11.25" hidden="1" customHeight="1" x14ac:dyDescent="0.25">
      <c r="A7" s="184" t="s">
        <v>66</v>
      </c>
      <c r="B7" s="177"/>
      <c r="C7" s="177"/>
      <c r="D7" s="271" t="s">
        <v>62</v>
      </c>
      <c r="E7" s="12"/>
      <c r="F7" s="20"/>
      <c r="G7" s="331"/>
      <c r="J7" s="6"/>
    </row>
    <row r="8" spans="1:16" ht="11.25" customHeight="1" x14ac:dyDescent="0.25">
      <c r="A8" s="489" t="s">
        <v>46</v>
      </c>
      <c r="B8" s="490"/>
      <c r="C8" s="490"/>
      <c r="D8" s="272">
        <v>4000</v>
      </c>
      <c r="E8" s="6"/>
      <c r="F8" s="46"/>
      <c r="G8" s="331"/>
      <c r="J8" s="6"/>
    </row>
    <row r="9" spans="1:16" ht="12" thickBot="1" x14ac:dyDescent="0.25">
      <c r="A9" s="165"/>
      <c r="B9" s="165"/>
      <c r="C9" s="165"/>
      <c r="D9" s="164"/>
      <c r="E9" s="166"/>
      <c r="F9" s="334"/>
      <c r="G9" s="165"/>
      <c r="H9" s="70"/>
      <c r="I9" s="19"/>
      <c r="J9" s="70"/>
      <c r="M9" s="18"/>
    </row>
    <row r="10" spans="1:16" s="18" customFormat="1" ht="25.5" customHeight="1" x14ac:dyDescent="0.2">
      <c r="A10" s="185"/>
      <c r="B10" s="186"/>
      <c r="C10" s="186"/>
      <c r="D10" s="491" t="s">
        <v>103</v>
      </c>
      <c r="E10" s="488"/>
      <c r="F10" s="424"/>
      <c r="G10" s="487" t="s">
        <v>104</v>
      </c>
      <c r="H10" s="488"/>
      <c r="I10" s="424"/>
      <c r="J10" s="404" t="s">
        <v>102</v>
      </c>
    </row>
    <row r="11" spans="1:16" s="18" customFormat="1" x14ac:dyDescent="0.2">
      <c r="A11" s="187"/>
      <c r="B11" s="20"/>
      <c r="C11" s="20"/>
      <c r="D11" s="148" t="s">
        <v>48</v>
      </c>
      <c r="E11" s="341" t="s">
        <v>47</v>
      </c>
      <c r="F11" s="424"/>
      <c r="G11" s="339" t="s">
        <v>48</v>
      </c>
      <c r="H11" s="341" t="s">
        <v>56</v>
      </c>
      <c r="I11" s="424"/>
      <c r="J11" s="405" t="s">
        <v>94</v>
      </c>
      <c r="M11" s="7"/>
    </row>
    <row r="12" spans="1:16" x14ac:dyDescent="0.2">
      <c r="A12" s="188" t="s">
        <v>97</v>
      </c>
      <c r="B12" s="150"/>
      <c r="C12" s="150"/>
      <c r="D12" s="273">
        <v>10.6</v>
      </c>
      <c r="E12" s="342">
        <v>20</v>
      </c>
      <c r="F12" s="380"/>
      <c r="G12" s="361">
        <v>4</v>
      </c>
      <c r="H12" s="392">
        <v>52.4</v>
      </c>
      <c r="I12" s="432"/>
      <c r="J12" s="406"/>
    </row>
    <row r="13" spans="1:16" x14ac:dyDescent="0.2">
      <c r="A13" s="297" t="s">
        <v>111</v>
      </c>
      <c r="B13" s="177"/>
      <c r="C13" s="177"/>
      <c r="D13" s="274"/>
      <c r="E13" s="343"/>
      <c r="F13" s="381"/>
      <c r="G13" s="362">
        <v>22</v>
      </c>
      <c r="H13" s="344">
        <v>22</v>
      </c>
      <c r="I13" s="382"/>
      <c r="J13" s="407">
        <v>5</v>
      </c>
    </row>
    <row r="14" spans="1:16" x14ac:dyDescent="0.2">
      <c r="A14" s="189" t="s">
        <v>98</v>
      </c>
      <c r="B14" s="177"/>
      <c r="C14" s="177"/>
      <c r="D14" s="275">
        <v>87</v>
      </c>
      <c r="E14" s="344">
        <v>120</v>
      </c>
      <c r="F14" s="382"/>
      <c r="G14" s="362">
        <v>195</v>
      </c>
      <c r="H14" s="393"/>
      <c r="I14" s="418"/>
      <c r="J14" s="450"/>
    </row>
    <row r="15" spans="1:16" ht="21.75" customHeight="1" x14ac:dyDescent="0.2">
      <c r="A15" s="492" t="s">
        <v>110</v>
      </c>
      <c r="B15" s="493"/>
      <c r="C15" s="177"/>
      <c r="D15" s="275">
        <v>18</v>
      </c>
      <c r="E15" s="344"/>
      <c r="F15" s="382"/>
      <c r="G15" s="362"/>
      <c r="H15" s="394"/>
      <c r="I15" s="419"/>
      <c r="J15" s="408">
        <f>ROUNDUP(J13*48/12,0)</f>
        <v>20</v>
      </c>
      <c r="P15" s="174"/>
    </row>
    <row r="16" spans="1:16" ht="12.75" customHeight="1" x14ac:dyDescent="0.2">
      <c r="A16" s="462" t="s">
        <v>150</v>
      </c>
      <c r="B16" s="463"/>
      <c r="C16" s="176"/>
      <c r="D16" s="464"/>
      <c r="E16" s="465"/>
      <c r="F16" s="466"/>
      <c r="G16" s="362"/>
      <c r="H16" s="394"/>
      <c r="I16" s="419"/>
      <c r="J16" s="408"/>
      <c r="P16" s="174"/>
    </row>
    <row r="17" spans="1:16" x14ac:dyDescent="0.2">
      <c r="A17" s="190" t="s">
        <v>112</v>
      </c>
      <c r="B17" s="151"/>
      <c r="C17" s="151"/>
      <c r="D17" s="276">
        <v>0</v>
      </c>
      <c r="E17" s="345"/>
      <c r="F17" s="383"/>
      <c r="G17" s="363">
        <v>0.1</v>
      </c>
      <c r="H17" s="394"/>
      <c r="I17" s="419"/>
      <c r="J17" s="408"/>
      <c r="P17" s="175"/>
    </row>
    <row r="18" spans="1:16" ht="20.100000000000001" customHeight="1" x14ac:dyDescent="0.2">
      <c r="A18" s="210" t="s">
        <v>100</v>
      </c>
      <c r="B18" s="208"/>
      <c r="C18" s="208"/>
      <c r="D18" s="209">
        <f>D12*D14+D15*ROUND((D12*125%),2)+D17+(D16*D12)</f>
        <v>1160.7</v>
      </c>
      <c r="E18" s="346">
        <f>E12*E14+E15*E12*125%</f>
        <v>2400</v>
      </c>
      <c r="F18" s="425"/>
      <c r="G18" s="295">
        <f>G14*G12+ROUND(G15*G12*(1+G17),2)+G16*G12</f>
        <v>780</v>
      </c>
      <c r="H18" s="395">
        <f>H12*H13</f>
        <v>1152.8</v>
      </c>
      <c r="I18" s="420"/>
      <c r="J18" s="409"/>
    </row>
    <row r="19" spans="1:16" x14ac:dyDescent="0.2">
      <c r="A19" s="191" t="s">
        <v>58</v>
      </c>
      <c r="B19" s="153"/>
      <c r="C19" s="153"/>
      <c r="D19" s="154"/>
      <c r="E19" s="347"/>
      <c r="F19" s="384"/>
      <c r="G19" s="364"/>
      <c r="H19" s="396">
        <v>3.03</v>
      </c>
      <c r="I19" s="391"/>
      <c r="J19" s="409"/>
    </row>
    <row r="20" spans="1:16" hidden="1" x14ac:dyDescent="0.2">
      <c r="A20" s="192"/>
      <c r="B20" s="155"/>
      <c r="C20" s="155"/>
      <c r="D20" s="152"/>
      <c r="E20" s="348"/>
      <c r="F20" s="385"/>
      <c r="G20" s="365"/>
      <c r="H20" s="353"/>
      <c r="I20" s="385"/>
      <c r="J20" s="410"/>
    </row>
    <row r="21" spans="1:16" hidden="1" x14ac:dyDescent="0.2">
      <c r="A21" s="192"/>
      <c r="B21" s="155"/>
      <c r="C21" s="155"/>
      <c r="D21" s="152"/>
      <c r="E21" s="348"/>
      <c r="F21" s="385"/>
      <c r="G21" s="365"/>
      <c r="H21" s="353"/>
      <c r="I21" s="385"/>
      <c r="J21" s="410"/>
    </row>
    <row r="22" spans="1:16" hidden="1" x14ac:dyDescent="0.2">
      <c r="A22" s="192"/>
      <c r="B22" s="155"/>
      <c r="C22" s="155"/>
      <c r="D22" s="152"/>
      <c r="E22" s="348"/>
      <c r="F22" s="385"/>
      <c r="G22" s="365"/>
      <c r="H22" s="353"/>
      <c r="I22" s="385"/>
      <c r="J22" s="410"/>
    </row>
    <row r="23" spans="1:16" hidden="1" x14ac:dyDescent="0.2">
      <c r="A23" s="192"/>
      <c r="B23" s="155"/>
      <c r="C23" s="155"/>
      <c r="D23" s="152"/>
      <c r="E23" s="348"/>
      <c r="F23" s="385"/>
      <c r="G23" s="365"/>
      <c r="H23" s="353"/>
      <c r="I23" s="385"/>
      <c r="J23" s="410"/>
    </row>
    <row r="24" spans="1:16" hidden="1" x14ac:dyDescent="0.2">
      <c r="A24" s="192"/>
      <c r="B24" s="155"/>
      <c r="C24" s="155"/>
      <c r="D24" s="152"/>
      <c r="E24" s="348"/>
      <c r="F24" s="385"/>
      <c r="G24" s="365"/>
      <c r="H24" s="353"/>
      <c r="I24" s="385"/>
      <c r="J24" s="410"/>
    </row>
    <row r="25" spans="1:16" hidden="1" x14ac:dyDescent="0.2">
      <c r="A25" s="192"/>
      <c r="B25" s="155"/>
      <c r="C25" s="155"/>
      <c r="D25" s="152"/>
      <c r="E25" s="348"/>
      <c r="F25" s="385"/>
      <c r="G25" s="365"/>
      <c r="H25" s="353"/>
      <c r="I25" s="385"/>
      <c r="J25" s="410"/>
    </row>
    <row r="26" spans="1:16" hidden="1" x14ac:dyDescent="0.2">
      <c r="A26" s="192"/>
      <c r="B26" s="155"/>
      <c r="C26" s="155"/>
      <c r="D26" s="152"/>
      <c r="E26" s="348"/>
      <c r="F26" s="385"/>
      <c r="G26" s="365"/>
      <c r="H26" s="353"/>
      <c r="I26" s="385"/>
      <c r="J26" s="410"/>
    </row>
    <row r="27" spans="1:16" ht="15" x14ac:dyDescent="0.25">
      <c r="A27" s="193" t="s">
        <v>79</v>
      </c>
      <c r="B27" s="146"/>
      <c r="C27" s="146"/>
      <c r="D27" s="156">
        <f>D18-Feuil3!E5</f>
        <v>928.6</v>
      </c>
      <c r="E27" s="349"/>
      <c r="F27" s="386"/>
      <c r="G27" s="366">
        <f>G18-Feuil3!H5</f>
        <v>608.48</v>
      </c>
      <c r="H27" s="397">
        <f>H18-Feuil3!L5</f>
        <v>899.31</v>
      </c>
      <c r="I27" s="421"/>
      <c r="J27" s="409"/>
      <c r="L27"/>
    </row>
    <row r="28" spans="1:16" ht="15" hidden="1" x14ac:dyDescent="0.25">
      <c r="A28" s="193"/>
      <c r="B28" s="146"/>
      <c r="C28" s="146"/>
      <c r="D28" s="156"/>
      <c r="E28" s="349"/>
      <c r="F28" s="386"/>
      <c r="G28" s="367"/>
      <c r="H28" s="398"/>
      <c r="I28" s="421"/>
      <c r="J28" s="409"/>
      <c r="L28"/>
    </row>
    <row r="29" spans="1:16" ht="16.5" customHeight="1" x14ac:dyDescent="0.25">
      <c r="A29" s="190" t="s">
        <v>12</v>
      </c>
      <c r="B29" s="151"/>
      <c r="C29" s="151"/>
      <c r="D29" s="276">
        <v>0</v>
      </c>
      <c r="E29" s="347"/>
      <c r="F29" s="384"/>
      <c r="G29" s="340"/>
      <c r="H29" s="394"/>
      <c r="I29" s="419"/>
      <c r="J29" s="409"/>
      <c r="L29"/>
    </row>
    <row r="30" spans="1:16" ht="20.100000000000001" customHeight="1" x14ac:dyDescent="0.25">
      <c r="A30" s="210" t="s">
        <v>101</v>
      </c>
      <c r="B30" s="211"/>
      <c r="C30" s="211"/>
      <c r="D30" s="294">
        <f>D27+D29</f>
        <v>928.6</v>
      </c>
      <c r="E30" s="350"/>
      <c r="F30" s="426"/>
      <c r="G30" s="295">
        <f>G27+(G19*G13)</f>
        <v>608.48</v>
      </c>
      <c r="H30" s="395">
        <f>H27+H19*H13</f>
        <v>965.97</v>
      </c>
      <c r="I30" s="420"/>
      <c r="J30" s="409"/>
      <c r="L30"/>
    </row>
    <row r="31" spans="1:16" ht="11.25" customHeight="1" x14ac:dyDescent="0.25">
      <c r="A31" s="191" t="s">
        <v>41</v>
      </c>
      <c r="B31" s="153"/>
      <c r="C31" s="153"/>
      <c r="D31" s="178">
        <f>D30+Feuil3!E7-Feuil3!E4</f>
        <v>1645.93</v>
      </c>
      <c r="E31" s="351"/>
      <c r="F31" s="387"/>
      <c r="G31" s="368">
        <f>G27+Feuil3!H7</f>
        <v>1107.96</v>
      </c>
      <c r="H31" s="399">
        <f>H27+Feuil3!L7</f>
        <v>1637.49</v>
      </c>
      <c r="I31" s="422"/>
      <c r="J31" s="409"/>
      <c r="L31"/>
    </row>
    <row r="32" spans="1:16" ht="11.25" customHeight="1" x14ac:dyDescent="0.25">
      <c r="A32" s="194" t="s">
        <v>6</v>
      </c>
      <c r="B32" s="172"/>
      <c r="C32" s="146"/>
      <c r="D32" s="156"/>
      <c r="E32" s="349"/>
      <c r="F32" s="386"/>
      <c r="G32" s="369"/>
      <c r="H32" s="400"/>
      <c r="I32" s="419"/>
      <c r="J32" s="409"/>
      <c r="L32"/>
    </row>
    <row r="33" spans="1:12" ht="9.9499999999999993" customHeight="1" x14ac:dyDescent="0.25">
      <c r="A33" s="189" t="s">
        <v>86</v>
      </c>
      <c r="B33" s="12"/>
      <c r="C33" s="177"/>
      <c r="D33" s="157">
        <f>IF(D3="oui",IF(Feuil2!C7&gt;Feuil3!E7*50%,-Feuil3!E7*50%,-Feuil2!C7),IF(Feuil2!E7&gt;Feuil3!E7*50%,-Feuil3!E7*50%,-Feuil2!E7))</f>
        <v>-358.67</v>
      </c>
      <c r="E33" s="352"/>
      <c r="F33" s="388"/>
      <c r="G33" s="370">
        <f>IF(G18/G13&lt;=Feuil2!C30,-Feuil3!H7,0)</f>
        <v>-499.48</v>
      </c>
      <c r="H33" s="355">
        <f>IF(H12&lt;=Feuil2!C30,-Feuil3!L7,0)</f>
        <v>-738.18</v>
      </c>
      <c r="I33" s="423"/>
      <c r="J33" s="409"/>
      <c r="L33"/>
    </row>
    <row r="34" spans="1:12" hidden="1" x14ac:dyDescent="0.2">
      <c r="A34" s="192"/>
      <c r="B34" s="173"/>
      <c r="C34" s="155"/>
      <c r="D34" s="152"/>
      <c r="E34" s="353"/>
      <c r="F34" s="389"/>
      <c r="G34" s="365"/>
      <c r="H34" s="353"/>
      <c r="I34" s="385"/>
      <c r="J34" s="410"/>
    </row>
    <row r="35" spans="1:12" hidden="1" x14ac:dyDescent="0.2">
      <c r="A35" s="192"/>
      <c r="B35" s="155"/>
      <c r="C35" s="155"/>
      <c r="D35" s="152"/>
      <c r="E35" s="353"/>
      <c r="F35" s="389"/>
      <c r="G35" s="365"/>
      <c r="H35" s="353"/>
      <c r="I35" s="385"/>
      <c r="J35" s="410"/>
    </row>
    <row r="36" spans="1:12" hidden="1" x14ac:dyDescent="0.2">
      <c r="A36" s="192"/>
      <c r="B36" s="155"/>
      <c r="C36" s="155"/>
      <c r="D36" s="152"/>
      <c r="E36" s="353"/>
      <c r="F36" s="389"/>
      <c r="G36" s="365"/>
      <c r="H36" s="353"/>
      <c r="I36" s="385"/>
      <c r="J36" s="410"/>
    </row>
    <row r="37" spans="1:12" hidden="1" x14ac:dyDescent="0.2">
      <c r="A37" s="192"/>
      <c r="B37" s="155"/>
      <c r="C37" s="155"/>
      <c r="D37" s="152"/>
      <c r="E37" s="353"/>
      <c r="F37" s="389"/>
      <c r="G37" s="365"/>
      <c r="H37" s="353"/>
      <c r="I37" s="385"/>
      <c r="J37" s="410"/>
    </row>
    <row r="38" spans="1:12" hidden="1" x14ac:dyDescent="0.2">
      <c r="A38" s="192"/>
      <c r="B38" s="155"/>
      <c r="C38" s="155"/>
      <c r="D38" s="152"/>
      <c r="E38" s="353"/>
      <c r="F38" s="389"/>
      <c r="G38" s="365"/>
      <c r="H38" s="353"/>
      <c r="I38" s="385"/>
      <c r="J38" s="410"/>
    </row>
    <row r="39" spans="1:12" hidden="1" x14ac:dyDescent="0.2">
      <c r="A39" s="192"/>
      <c r="B39" s="155"/>
      <c r="C39" s="155"/>
      <c r="D39" s="152"/>
      <c r="E39" s="353"/>
      <c r="F39" s="389"/>
      <c r="G39" s="365"/>
      <c r="H39" s="353"/>
      <c r="I39" s="385"/>
      <c r="J39" s="410"/>
    </row>
    <row r="40" spans="1:12" hidden="1" x14ac:dyDescent="0.2">
      <c r="A40" s="192"/>
      <c r="B40" s="155"/>
      <c r="C40" s="155"/>
      <c r="D40" s="152"/>
      <c r="E40" s="353"/>
      <c r="F40" s="389"/>
      <c r="G40" s="365"/>
      <c r="H40" s="353"/>
      <c r="I40" s="385"/>
      <c r="J40" s="410"/>
    </row>
    <row r="41" spans="1:12" hidden="1" x14ac:dyDescent="0.2">
      <c r="A41" s="192"/>
      <c r="B41" s="155"/>
      <c r="C41" s="155"/>
      <c r="D41" s="152"/>
      <c r="E41" s="353"/>
      <c r="F41" s="389"/>
      <c r="G41" s="365"/>
      <c r="H41" s="353"/>
      <c r="I41" s="385"/>
      <c r="J41" s="410"/>
    </row>
    <row r="42" spans="1:12" hidden="1" x14ac:dyDescent="0.2">
      <c r="A42" s="192"/>
      <c r="B42" s="155"/>
      <c r="C42" s="155"/>
      <c r="D42" s="152"/>
      <c r="E42" s="353"/>
      <c r="F42" s="389"/>
      <c r="G42" s="365"/>
      <c r="H42" s="353"/>
      <c r="I42" s="385"/>
      <c r="J42" s="410"/>
    </row>
    <row r="43" spans="1:12" hidden="1" x14ac:dyDescent="0.2">
      <c r="A43" s="192"/>
      <c r="B43" s="155"/>
      <c r="C43" s="155"/>
      <c r="D43" s="152"/>
      <c r="E43" s="353"/>
      <c r="F43" s="389"/>
      <c r="G43" s="365"/>
      <c r="H43" s="353"/>
      <c r="I43" s="385"/>
      <c r="J43" s="410"/>
    </row>
    <row r="44" spans="1:12" ht="15" customHeight="1" x14ac:dyDescent="0.25">
      <c r="A44" s="195" t="s">
        <v>88</v>
      </c>
      <c r="B44" s="196"/>
      <c r="C44" s="197">
        <f>Feuil3!E7+'SIMULATEUR FOYER MONOPARENTAL'!D33+C69</f>
        <v>180.55</v>
      </c>
      <c r="D44" s="168"/>
      <c r="E44" s="354"/>
      <c r="F44" s="385"/>
      <c r="G44" s="371"/>
      <c r="H44" s="401"/>
      <c r="I44" s="385"/>
      <c r="J44" s="410"/>
      <c r="L44"/>
    </row>
    <row r="45" spans="1:12" hidden="1" x14ac:dyDescent="0.2">
      <c r="A45" s="192"/>
      <c r="B45" s="155"/>
      <c r="C45" s="155"/>
      <c r="D45" s="152"/>
      <c r="E45" s="353"/>
      <c r="F45" s="389"/>
      <c r="G45" s="365"/>
      <c r="H45" s="353"/>
      <c r="I45" s="385"/>
      <c r="J45" s="410"/>
    </row>
    <row r="46" spans="1:12" hidden="1" x14ac:dyDescent="0.2">
      <c r="A46" s="192"/>
      <c r="B46" s="155"/>
      <c r="C46" s="155"/>
      <c r="D46" s="152"/>
      <c r="E46" s="353"/>
      <c r="F46" s="389"/>
      <c r="G46" s="365"/>
      <c r="H46" s="353"/>
      <c r="I46" s="385"/>
      <c r="J46" s="410"/>
    </row>
    <row r="47" spans="1:12" hidden="1" x14ac:dyDescent="0.2">
      <c r="A47" s="192"/>
      <c r="B47" s="155"/>
      <c r="C47" s="155"/>
      <c r="D47" s="152"/>
      <c r="E47" s="353"/>
      <c r="F47" s="389"/>
      <c r="G47" s="365"/>
      <c r="H47" s="353"/>
      <c r="I47" s="385"/>
      <c r="J47" s="410"/>
    </row>
    <row r="48" spans="1:12" hidden="1" x14ac:dyDescent="0.2">
      <c r="A48" s="192"/>
      <c r="B48" s="155"/>
      <c r="C48" s="155"/>
      <c r="D48" s="152"/>
      <c r="E48" s="353"/>
      <c r="F48" s="389"/>
      <c r="G48" s="365"/>
      <c r="H48" s="353"/>
      <c r="I48" s="385"/>
      <c r="J48" s="410"/>
    </row>
    <row r="49" spans="1:10" hidden="1" x14ac:dyDescent="0.2">
      <c r="A49" s="192"/>
      <c r="B49" s="155"/>
      <c r="C49" s="155"/>
      <c r="D49" s="152"/>
      <c r="E49" s="353"/>
      <c r="F49" s="389"/>
      <c r="G49" s="365"/>
      <c r="H49" s="353"/>
      <c r="I49" s="385"/>
      <c r="J49" s="410"/>
    </row>
    <row r="50" spans="1:10" hidden="1" x14ac:dyDescent="0.2">
      <c r="A50" s="192"/>
      <c r="B50" s="155"/>
      <c r="C50" s="155"/>
      <c r="D50" s="152"/>
      <c r="E50" s="353"/>
      <c r="F50" s="389"/>
      <c r="G50" s="365"/>
      <c r="H50" s="353"/>
      <c r="I50" s="385"/>
      <c r="J50" s="410"/>
    </row>
    <row r="51" spans="1:10" hidden="1" x14ac:dyDescent="0.2">
      <c r="A51" s="192"/>
      <c r="B51" s="155"/>
      <c r="C51" s="155"/>
      <c r="D51" s="152"/>
      <c r="E51" s="353"/>
      <c r="F51" s="389"/>
      <c r="G51" s="365"/>
      <c r="H51" s="353"/>
      <c r="I51" s="385"/>
      <c r="J51" s="410"/>
    </row>
    <row r="52" spans="1:10" x14ac:dyDescent="0.2">
      <c r="A52" s="189" t="s">
        <v>8</v>
      </c>
      <c r="B52" s="177"/>
      <c r="C52" s="177"/>
      <c r="D52" s="158">
        <f>IF(D27*85%&lt;(Feuil3!E9+Feuil3!E10+Feuil3!E11+Feuil3!E12+Feuil3!E13+Feuil3!E14+Feuil3!E15+Feuil3!E16),-D27*85%,-(Feuil3!E9+Feuil3!E10+Feuil3!E11+Feuil3!E12+Feuil3!E13+Feuil3!E14+Feuil3!E15+Feuil3!E16))</f>
        <v>-385.84</v>
      </c>
      <c r="E52" s="355">
        <f>IF(E18*85%&lt;Feuil3!F17,-E18*85%,-Feuil3!F17)</f>
        <v>-964.52</v>
      </c>
      <c r="F52" s="390"/>
      <c r="G52" s="370">
        <f>IF(G18/G13&lt;=Feuil2!C30,Feuil3!H18,0)</f>
        <v>-385.84</v>
      </c>
      <c r="H52" s="355">
        <f>IF(H12&lt;=Feuil2!C30,Feuil3!I18,0)</f>
        <v>-385.84</v>
      </c>
      <c r="I52" s="423"/>
      <c r="J52" s="411"/>
    </row>
    <row r="53" spans="1:10" hidden="1" x14ac:dyDescent="0.2">
      <c r="A53" s="192"/>
      <c r="B53" s="155"/>
      <c r="C53" s="155"/>
      <c r="D53" s="152"/>
      <c r="E53" s="353"/>
      <c r="F53" s="385"/>
      <c r="G53" s="372"/>
      <c r="H53" s="348"/>
      <c r="I53" s="385"/>
      <c r="J53" s="412"/>
    </row>
    <row r="54" spans="1:10" hidden="1" x14ac:dyDescent="0.2">
      <c r="A54" s="192"/>
      <c r="B54" s="155"/>
      <c r="C54" s="155"/>
      <c r="D54" s="152"/>
      <c r="E54" s="353"/>
      <c r="F54" s="385"/>
      <c r="G54" s="372"/>
      <c r="H54" s="348"/>
      <c r="I54" s="385"/>
      <c r="J54" s="412"/>
    </row>
    <row r="55" spans="1:10" hidden="1" x14ac:dyDescent="0.2">
      <c r="A55" s="192"/>
      <c r="B55" s="155"/>
      <c r="C55" s="155"/>
      <c r="D55" s="152"/>
      <c r="E55" s="353"/>
      <c r="F55" s="385"/>
      <c r="G55" s="372"/>
      <c r="H55" s="348"/>
      <c r="I55" s="385"/>
      <c r="J55" s="412"/>
    </row>
    <row r="56" spans="1:10" hidden="1" x14ac:dyDescent="0.2">
      <c r="A56" s="192"/>
      <c r="B56" s="155"/>
      <c r="C56" s="155"/>
      <c r="D56" s="152"/>
      <c r="E56" s="353"/>
      <c r="F56" s="385"/>
      <c r="G56" s="372"/>
      <c r="H56" s="348"/>
      <c r="I56" s="385"/>
      <c r="J56" s="412"/>
    </row>
    <row r="57" spans="1:10" x14ac:dyDescent="0.2">
      <c r="A57" s="198" t="s">
        <v>18</v>
      </c>
      <c r="B57" s="176"/>
      <c r="C57" s="159"/>
      <c r="D57" s="160"/>
      <c r="E57" s="356"/>
      <c r="F57" s="386"/>
      <c r="G57" s="373"/>
      <c r="H57" s="402"/>
      <c r="I57" s="419"/>
      <c r="J57" s="413">
        <f>SUM(Feuil3!K28:K31)</f>
        <v>461.25</v>
      </c>
    </row>
    <row r="58" spans="1:10" ht="20.100000000000001" customHeight="1" x14ac:dyDescent="0.2">
      <c r="A58" s="212" t="s">
        <v>42</v>
      </c>
      <c r="B58" s="213"/>
      <c r="C58" s="213"/>
      <c r="D58" s="214">
        <f>D31+D33+D52+C69</f>
        <v>723.31</v>
      </c>
      <c r="E58" s="357">
        <f>E18+E52+Feuil3!F25</f>
        <v>1435.48</v>
      </c>
      <c r="F58" s="428"/>
      <c r="G58" s="374">
        <f>G31+G33+G52+(G13*G19)</f>
        <v>222.64</v>
      </c>
      <c r="H58" s="357">
        <f>H31+H33+H52+(H13*H19)</f>
        <v>580.13</v>
      </c>
      <c r="I58" s="428"/>
      <c r="J58" s="414">
        <f>J57</f>
        <v>461.25</v>
      </c>
    </row>
    <row r="59" spans="1:10" x14ac:dyDescent="0.2">
      <c r="A59" s="199" t="s">
        <v>146</v>
      </c>
      <c r="B59" s="12"/>
      <c r="C59" s="12"/>
      <c r="D59" s="277">
        <v>0</v>
      </c>
      <c r="E59" s="358"/>
      <c r="F59" s="391"/>
      <c r="G59" s="375"/>
      <c r="H59" s="394"/>
      <c r="I59" s="419"/>
      <c r="J59" s="409"/>
    </row>
    <row r="60" spans="1:10" ht="20.100000000000001" customHeight="1" thickBot="1" x14ac:dyDescent="0.25">
      <c r="A60" s="212" t="s">
        <v>34</v>
      </c>
      <c r="B60" s="215"/>
      <c r="C60" s="215"/>
      <c r="D60" s="214">
        <f>((D58-D29)*12+D59*12)+D29*11</f>
        <v>8679.7199999999993</v>
      </c>
      <c r="E60" s="357">
        <f>E58*12+E59</f>
        <v>17225.759999999998</v>
      </c>
      <c r="F60" s="427"/>
      <c r="G60" s="376">
        <f>G58*12</f>
        <v>2671.68</v>
      </c>
      <c r="H60" s="403">
        <f>H58*12</f>
        <v>6961.56</v>
      </c>
      <c r="I60" s="431"/>
      <c r="J60" s="414">
        <f>J58*11</f>
        <v>5073.75</v>
      </c>
    </row>
    <row r="61" spans="1:10" hidden="1" x14ac:dyDescent="0.2">
      <c r="A61" s="200"/>
      <c r="B61" s="23"/>
      <c r="C61" s="23"/>
      <c r="D61" s="147"/>
      <c r="E61" s="348"/>
      <c r="F61" s="385"/>
      <c r="G61" s="372"/>
      <c r="H61" s="348"/>
      <c r="I61" s="385"/>
      <c r="J61" s="410"/>
    </row>
    <row r="62" spans="1:10" hidden="1" x14ac:dyDescent="0.2">
      <c r="A62" s="200"/>
      <c r="B62" s="23"/>
      <c r="C62" s="23"/>
      <c r="D62" s="147"/>
      <c r="E62" s="348"/>
      <c r="F62" s="385"/>
      <c r="G62" s="372"/>
      <c r="H62" s="348"/>
      <c r="I62" s="385"/>
      <c r="J62" s="410"/>
    </row>
    <row r="63" spans="1:10" hidden="1" x14ac:dyDescent="0.2">
      <c r="A63" s="200"/>
      <c r="B63" s="23"/>
      <c r="C63" s="23"/>
      <c r="D63" s="147"/>
      <c r="E63" s="348"/>
      <c r="F63" s="385"/>
      <c r="G63" s="372"/>
      <c r="H63" s="348"/>
      <c r="I63" s="385"/>
      <c r="J63" s="410"/>
    </row>
    <row r="64" spans="1:10" hidden="1" x14ac:dyDescent="0.2">
      <c r="A64" s="200"/>
      <c r="B64" s="23"/>
      <c r="C64" s="23"/>
      <c r="D64" s="147"/>
      <c r="E64" s="348"/>
      <c r="F64" s="385"/>
      <c r="G64" s="372"/>
      <c r="H64" s="348"/>
      <c r="I64" s="385"/>
      <c r="J64" s="410"/>
    </row>
    <row r="65" spans="1:10" hidden="1" x14ac:dyDescent="0.2">
      <c r="A65" s="200"/>
      <c r="B65" s="23"/>
      <c r="C65" s="23"/>
      <c r="D65" s="147"/>
      <c r="E65" s="348"/>
      <c r="F65" s="385"/>
      <c r="G65" s="372"/>
      <c r="H65" s="348"/>
      <c r="I65" s="385"/>
      <c r="J65" s="410"/>
    </row>
    <row r="66" spans="1:10" x14ac:dyDescent="0.2">
      <c r="A66" s="201" t="s">
        <v>142</v>
      </c>
      <c r="B66" s="150"/>
      <c r="C66" s="150"/>
      <c r="D66" s="161">
        <f>IF(D7="oui",Feuil3!E35,Feuil3!E37)</f>
        <v>-4339.8599999999997</v>
      </c>
      <c r="E66" s="359">
        <f>IF(D7="oui",Feuil3!F35,Feuil3!F37)</f>
        <v>-6750</v>
      </c>
      <c r="F66" s="433"/>
      <c r="G66" s="377">
        <f>Feuil3!H35</f>
        <v>-1150</v>
      </c>
      <c r="H66" s="359">
        <f>Feuil3!I35</f>
        <v>-1150</v>
      </c>
      <c r="I66" s="433"/>
      <c r="J66" s="415">
        <f>Feuil3!K35</f>
        <v>-1150</v>
      </c>
    </row>
    <row r="67" spans="1:10" x14ac:dyDescent="0.2">
      <c r="A67" s="198" t="s">
        <v>147</v>
      </c>
      <c r="B67" s="162"/>
      <c r="C67" s="162"/>
      <c r="D67" s="160">
        <f>D60+D66</f>
        <v>4339.8599999999997</v>
      </c>
      <c r="E67" s="356">
        <f>E60+E66</f>
        <v>10475.76</v>
      </c>
      <c r="F67" s="429"/>
      <c r="G67" s="378">
        <f>G60+G66</f>
        <v>1521.68</v>
      </c>
      <c r="H67" s="356">
        <f>H60+H66</f>
        <v>5811.56</v>
      </c>
      <c r="I67" s="429"/>
      <c r="J67" s="416">
        <f>J60+Feuil3!K35</f>
        <v>3923.75</v>
      </c>
    </row>
    <row r="68" spans="1:10" ht="20.100000000000001" customHeight="1" thickBot="1" x14ac:dyDescent="0.25">
      <c r="A68" s="216" t="s">
        <v>145</v>
      </c>
      <c r="B68" s="217"/>
      <c r="C68" s="217"/>
      <c r="D68" s="218">
        <f>D67/12</f>
        <v>361.66</v>
      </c>
      <c r="E68" s="360">
        <f>E67/12</f>
        <v>872.98</v>
      </c>
      <c r="F68" s="430"/>
      <c r="G68" s="379">
        <f>G67/12</f>
        <v>126.81</v>
      </c>
      <c r="H68" s="360">
        <f>H67/12</f>
        <v>484.3</v>
      </c>
      <c r="I68" s="430"/>
      <c r="J68" s="417">
        <f>J67/12</f>
        <v>326.98</v>
      </c>
    </row>
    <row r="69" spans="1:10" ht="18.95" customHeight="1" x14ac:dyDescent="0.2">
      <c r="A69" s="169" t="s">
        <v>87</v>
      </c>
      <c r="B69" s="167"/>
      <c r="C69" s="170">
        <f>-'1'!E37</f>
        <v>-178.11</v>
      </c>
      <c r="E69" s="5"/>
      <c r="F69" s="14"/>
      <c r="G69" s="6"/>
      <c r="H69" s="6"/>
      <c r="I69" s="19"/>
      <c r="J69" s="472" t="s">
        <v>158</v>
      </c>
    </row>
    <row r="70" spans="1:10" s="204" customFormat="1" ht="34.5" customHeight="1" x14ac:dyDescent="0.2">
      <c r="A70" s="485" t="s">
        <v>99</v>
      </c>
      <c r="B70" s="485"/>
      <c r="C70" s="485"/>
      <c r="D70" s="485"/>
      <c r="E70" s="485"/>
      <c r="F70" s="485"/>
      <c r="G70" s="485"/>
      <c r="H70" s="202"/>
      <c r="I70" s="338"/>
      <c r="J70" s="203"/>
    </row>
    <row r="71" spans="1:10" s="204" customFormat="1" ht="21" customHeight="1" x14ac:dyDescent="0.2">
      <c r="A71" s="204" t="s">
        <v>74</v>
      </c>
      <c r="F71" s="335"/>
      <c r="I71" s="335"/>
    </row>
    <row r="72" spans="1:10" s="204" customFormat="1" x14ac:dyDescent="0.2">
      <c r="A72" s="205" t="s">
        <v>76</v>
      </c>
      <c r="C72" s="206">
        <f>Feuil3!I7+H33</f>
        <v>-738.18</v>
      </c>
      <c r="D72" s="204" t="s">
        <v>95</v>
      </c>
      <c r="F72" s="335"/>
      <c r="I72" s="335"/>
    </row>
    <row r="73" spans="1:10" s="204" customFormat="1" x14ac:dyDescent="0.2">
      <c r="A73" s="205" t="s">
        <v>76</v>
      </c>
      <c r="C73" s="207">
        <f>Feuil3!H7+G33</f>
        <v>0</v>
      </c>
      <c r="D73" s="204" t="s">
        <v>96</v>
      </c>
      <c r="F73" s="335"/>
      <c r="I73" s="335"/>
    </row>
    <row r="74" spans="1:10" ht="28.5" customHeight="1" x14ac:dyDescent="0.2">
      <c r="A74" s="486" t="s">
        <v>141</v>
      </c>
      <c r="B74" s="486"/>
      <c r="C74" s="486"/>
      <c r="D74" s="486"/>
      <c r="E74" s="486"/>
      <c r="F74" s="486"/>
      <c r="G74" s="486"/>
      <c r="H74" s="486"/>
      <c r="I74" s="486"/>
      <c r="J74" s="486"/>
    </row>
  </sheetData>
  <sheetProtection algorithmName="SHA-512" hashValue="zMSvXDsvrI2/+NNSnVCE536odsb3ujeFDwIjd4fRiU3ke9r409+U5VvuGad4U0Sw6RZPNNT09FJbG6fxDz/Gcw==" saltValue="HumPfjvUZn4Y1WjF1s2cAg==" spinCount="100000" sheet="1" objects="1" scenarios="1"/>
  <mergeCells count="9">
    <mergeCell ref="A70:G70"/>
    <mergeCell ref="A74:J74"/>
    <mergeCell ref="G10:H10"/>
    <mergeCell ref="A4:C4"/>
    <mergeCell ref="A5:C5"/>
    <mergeCell ref="A6:C6"/>
    <mergeCell ref="A8:C8"/>
    <mergeCell ref="D10:E10"/>
    <mergeCell ref="A15:B15"/>
  </mergeCells>
  <printOptions horizontalCentered="1" verticalCentered="1"/>
  <pageMargins left="0.23622047244094491" right="0.23622047244094491" top="0.55118110236220474" bottom="0.15748031496062992" header="0.31496062992125984" footer="0.31496062992125984"/>
  <pageSetup paperSize="9" scale="95" orientation="landscape" r:id="rId1"/>
  <headerFooter>
    <oddHeader>&amp;L&amp;G</oddHeader>
    <oddFooter>&amp;R&amp;"Arial,Normal"&amp;8&amp;K0070C0En partenariat avec :&amp;"Times New Roman,Normal"&amp;11&amp;K000000 &amp;G</oddFooter>
  </headerFooter>
  <colBreaks count="1" manualBreakCount="1">
    <brk id="10" max="1048575" man="1"/>
  </colBreaks>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N37"/>
  <sheetViews>
    <sheetView workbookViewId="0">
      <selection activeCell="E9" sqref="E9"/>
    </sheetView>
  </sheetViews>
  <sheetFormatPr baseColWidth="10" defaultRowHeight="15" x14ac:dyDescent="0.25"/>
  <sheetData>
    <row r="2" spans="2:14" s="7" customFormat="1" ht="11.25" x14ac:dyDescent="0.2">
      <c r="B2" s="61"/>
      <c r="C2" s="12"/>
      <c r="D2" s="12"/>
      <c r="E2" s="28"/>
      <c r="F2" s="28"/>
      <c r="G2" s="24"/>
      <c r="H2" s="75">
        <f>'SIMULATEUR FOYER MONOPARENTAL'!G18*Feuil2!E27</f>
        <v>0</v>
      </c>
      <c r="I2" s="75">
        <f>'SIMULATEUR FOYER MONOPARENTAL'!H12*'SIMULATEUR FOYER MONOPARENTAL'!H13*Feuil2!E27</f>
        <v>0</v>
      </c>
      <c r="J2" s="76"/>
      <c r="K2" s="70"/>
    </row>
    <row r="3" spans="2:14" s="7" customFormat="1" ht="11.25" x14ac:dyDescent="0.2">
      <c r="B3" s="61"/>
      <c r="C3" s="12"/>
      <c r="D3" s="12"/>
      <c r="E3" s="77"/>
      <c r="F3" s="28"/>
      <c r="G3" s="24"/>
      <c r="H3" s="28"/>
      <c r="I3" s="75"/>
      <c r="J3" s="76"/>
      <c r="K3" s="76"/>
    </row>
    <row r="4" spans="2:14" s="7" customFormat="1" ht="11.25" x14ac:dyDescent="0.2">
      <c r="B4" s="61"/>
      <c r="C4" s="12"/>
      <c r="D4" s="12"/>
      <c r="E4" s="28"/>
      <c r="F4" s="28"/>
      <c r="G4" s="24"/>
      <c r="H4" s="75"/>
      <c r="I4" s="75"/>
      <c r="J4" s="76"/>
      <c r="K4" s="70"/>
      <c r="L4" s="23"/>
    </row>
    <row r="5" spans="2:14" s="7" customFormat="1" ht="11.25" x14ac:dyDescent="0.2">
      <c r="B5" s="61" t="s">
        <v>3</v>
      </c>
      <c r="C5" s="12"/>
      <c r="D5" s="12"/>
      <c r="E5" s="28">
        <f>' BS GED'!H21</f>
        <v>232.1</v>
      </c>
      <c r="F5" s="28"/>
      <c r="G5" s="24"/>
      <c r="H5" s="75">
        <f>'BS AM'!H23</f>
        <v>171.52</v>
      </c>
      <c r="I5" s="75">
        <f>'SIMULATEUR FOYER MONOPARENTAL'!H18*Feuil2!$E$27</f>
        <v>0</v>
      </c>
      <c r="J5" s="76"/>
      <c r="K5" s="70"/>
      <c r="L5" s="329">
        <f>'BS AM'!R23</f>
        <v>253.49</v>
      </c>
    </row>
    <row r="6" spans="2:14" s="7" customFormat="1" x14ac:dyDescent="0.25">
      <c r="B6" s="56" t="s">
        <v>4</v>
      </c>
      <c r="C6" s="55"/>
      <c r="D6" s="55"/>
      <c r="E6" s="29">
        <f>' BS GED'!F21</f>
        <v>485.23</v>
      </c>
      <c r="F6" s="28"/>
      <c r="G6" s="24"/>
      <c r="H6" s="78">
        <f>'BS AM'!F23</f>
        <v>327.96</v>
      </c>
      <c r="I6" s="78">
        <f>'SIMULATEUR FOYER MONOPARENTAL'!H12*'SIMULATEUR FOYER MONOPARENTAL'!H13*Feuil2!E28</f>
        <v>0</v>
      </c>
      <c r="J6" s="76"/>
      <c r="K6" s="70"/>
      <c r="L6" s="329">
        <f>'BS AM'!P23</f>
        <v>484.69</v>
      </c>
      <c r="N6"/>
    </row>
    <row r="7" spans="2:14" s="7" customFormat="1" x14ac:dyDescent="0.25">
      <c r="B7" s="56" t="s">
        <v>85</v>
      </c>
      <c r="C7" s="55"/>
      <c r="D7" s="55"/>
      <c r="E7" s="128">
        <f>' BS GED'!F21+' BS GED'!H21</f>
        <v>717.33</v>
      </c>
      <c r="F7" s="24"/>
      <c r="G7" s="24"/>
      <c r="H7" s="80">
        <f>SUM(H5:H6)</f>
        <v>499.48</v>
      </c>
      <c r="I7" s="79">
        <f>I2+I6</f>
        <v>0</v>
      </c>
      <c r="J7" s="79"/>
      <c r="K7" s="19"/>
      <c r="L7" s="329">
        <f>SUM(L5:L6)</f>
        <v>738.18</v>
      </c>
      <c r="M7" s="47"/>
      <c r="N7"/>
    </row>
    <row r="8" spans="2:14" x14ac:dyDescent="0.25">
      <c r="B8" s="65"/>
      <c r="E8" s="163"/>
    </row>
    <row r="9" spans="2:14" s="7" customFormat="1" x14ac:dyDescent="0.25">
      <c r="B9" s="56"/>
      <c r="C9" s="55"/>
      <c r="D9" s="55"/>
      <c r="E9" s="35">
        <f>IF(AND('SIMULATEUR FOYER MONOPARENTAL'!$D$2=1,'SIMULATEUR FOYER MONOPARENTAL'!$D$3="oui"),IF('SIMULATEUR FOYER MONOPARENTAL'!$D$6&lt;Feuil2!$A$10,Feuil2!$E$10,IF('SIMULATEUR FOYER MONOPARENTAL'!$D$6&gt;Feuil2!$A$12,Feuil2!$E$12,Feuil2!$E$11)),0)</f>
        <v>385.84</v>
      </c>
      <c r="F9" s="35">
        <f>IF(AND('SIMULATEUR FOYER MONOPARENTAL'!D2=1,'SIMULATEUR FOYER MONOPARENTAL'!D3="oui"),IF('SIMULATEUR FOYER MONOPARENTAL'!D6&lt;Feuil2!A10,Feuil2!G10,IF('SIMULATEUR FOYER MONOPARENTAL'!D6&gt;Feuil2!A12,Feuil2!G12,Feuil2!G11)),0)</f>
        <v>964.52</v>
      </c>
      <c r="G9" s="37"/>
      <c r="H9" s="35">
        <f>IF(AND('SIMULATEUR FOYER MONOPARENTAL'!$D$2=1,'SIMULATEUR FOYER MONOPARENTAL'!$D$3="oui"),IF('SIMULATEUR FOYER MONOPARENTAL'!$D$6&lt;Feuil2!$A$10,Feuil2!$E$10,IF('SIMULATEUR FOYER MONOPARENTAL'!$D$6&gt;Feuil2!$A$12,Feuil2!$E$12,Feuil2!$E$11)),0)</f>
        <v>385.84</v>
      </c>
      <c r="I9" s="35">
        <f>IF(AND('SIMULATEUR FOYER MONOPARENTAL'!$D$2=1,'SIMULATEUR FOYER MONOPARENTAL'!$D$3="oui"),IF('SIMULATEUR FOYER MONOPARENTAL'!$D$6&lt;Feuil2!$A$10,Feuil2!$E$10,IF('SIMULATEUR FOYER MONOPARENTAL'!$D$6&gt;Feuil2!$A$12,Feuil2!$E$12,Feuil2!$E$11)),0)</f>
        <v>385.84</v>
      </c>
      <c r="J9" s="97"/>
      <c r="K9" s="98"/>
      <c r="N9"/>
    </row>
    <row r="10" spans="2:14" s="7" customFormat="1" x14ac:dyDescent="0.25">
      <c r="B10" s="56"/>
      <c r="C10" s="55"/>
      <c r="D10" s="55"/>
      <c r="E10" s="35">
        <f>IF(AND('SIMULATEUR FOYER MONOPARENTAL'!$D$2=1,'SIMULATEUR FOYER MONOPARENTAL'!$D$3="non"),IF('SIMULATEUR FOYER MONOPARENTAL'!$D$6&lt;Feuil2!$A$10,Feuil2!$F$10,IF('SIMULATEUR FOYER MONOPARENTAL'!$D$6&gt;Feuil2!$A$12,Feuil2!$F$12,Feuil2!$F$11)),0)</f>
        <v>0</v>
      </c>
      <c r="F10" s="35">
        <f>IF(AND('SIMULATEUR FOYER MONOPARENTAL'!D2=1,'SIMULATEUR FOYER MONOPARENTAL'!D3="non"),IF('SIMULATEUR FOYER MONOPARENTAL'!D6&lt;Feuil2!A10,Feuil2!H10,IF('SIMULATEUR FOYER MONOPARENTAL'!D6&gt;Feuil2!A12,Feuil2!H12,Feuil2!H11)),0)</f>
        <v>0</v>
      </c>
      <c r="G10" s="37"/>
      <c r="H10" s="35">
        <f>IF(AND('SIMULATEUR FOYER MONOPARENTAL'!$D$2=1,'SIMULATEUR FOYER MONOPARENTAL'!$D$3="non"),IF('SIMULATEUR FOYER MONOPARENTAL'!$D$6&lt;Feuil2!$A$10,Feuil2!$F$10,IF('SIMULATEUR FOYER MONOPARENTAL'!$D$6&gt;Feuil2!$A$12,Feuil2!$F$12,Feuil2!$F$11)),0)</f>
        <v>0</v>
      </c>
      <c r="I10" s="35">
        <f>IF(AND('SIMULATEUR FOYER MONOPARENTAL'!$D$2=1,'SIMULATEUR FOYER MONOPARENTAL'!$D$3="non"),IF('SIMULATEUR FOYER MONOPARENTAL'!$D$6&lt;Feuil2!$A$10,Feuil2!$F$10,IF('SIMULATEUR FOYER MONOPARENTAL'!$D$6&gt;Feuil2!$A$12,Feuil2!$F$12,Feuil2!$F$11)),0)</f>
        <v>0</v>
      </c>
      <c r="J10" s="97"/>
      <c r="K10" s="98"/>
      <c r="N10"/>
    </row>
    <row r="11" spans="2:14" s="7" customFormat="1" x14ac:dyDescent="0.25">
      <c r="B11" s="56"/>
      <c r="C11" s="55"/>
      <c r="D11" s="55"/>
      <c r="E11" s="35">
        <f>IF(AND('SIMULATEUR FOYER MONOPARENTAL'!$D$2=2,'SIMULATEUR FOYER MONOPARENTAL'!$D$3="oui"),IF('SIMULATEUR FOYER MONOPARENTAL'!$D$6&lt;Feuil2!$B$10,Feuil2!$E$10,IF('SIMULATEUR FOYER MONOPARENTAL'!$D$6&gt;Feuil2!$B$12,Feuil2!$E$12,Feuil2!$E$11)),0)</f>
        <v>0</v>
      </c>
      <c r="F11" s="35">
        <f>IF(AND('SIMULATEUR FOYER MONOPARENTAL'!D2=2,'SIMULATEUR FOYER MONOPARENTAL'!D3="oui"),IF('SIMULATEUR FOYER MONOPARENTAL'!D6&lt;Feuil2!B10,Feuil2!G10,IF('SIMULATEUR FOYER MONOPARENTAL'!D6&gt;Feuil2!B12,Feuil2!G12,Feuil2!G11)),0)</f>
        <v>0</v>
      </c>
      <c r="G11" s="37"/>
      <c r="H11" s="35">
        <f>IF(AND('SIMULATEUR FOYER MONOPARENTAL'!$D$2=2,'SIMULATEUR FOYER MONOPARENTAL'!$D$3="oui"),IF('SIMULATEUR FOYER MONOPARENTAL'!$D$6&lt;Feuil2!$B$10,Feuil2!$E$10,IF('SIMULATEUR FOYER MONOPARENTAL'!$D$6&gt;Feuil2!$B$12,Feuil2!$E$12,Feuil2!$E$11)),0)</f>
        <v>0</v>
      </c>
      <c r="I11" s="35">
        <f>IF(AND('SIMULATEUR FOYER MONOPARENTAL'!$D$2=2,'SIMULATEUR FOYER MONOPARENTAL'!$D$3="oui"),IF('SIMULATEUR FOYER MONOPARENTAL'!$D$6&lt;Feuil2!$B$10,Feuil2!$E$10,IF('SIMULATEUR FOYER MONOPARENTAL'!$D$6&gt;Feuil2!$B$12,Feuil2!$E$12,Feuil2!$E$11)),0)</f>
        <v>0</v>
      </c>
      <c r="J11" s="97"/>
      <c r="K11" s="98"/>
      <c r="N11"/>
    </row>
    <row r="12" spans="2:14" s="7" customFormat="1" x14ac:dyDescent="0.25">
      <c r="B12" s="56"/>
      <c r="C12" s="55"/>
      <c r="D12" s="55"/>
      <c r="E12" s="35">
        <f>IF(AND('SIMULATEUR FOYER MONOPARENTAL'!$D$2=2,'SIMULATEUR FOYER MONOPARENTAL'!$D$3="non"),IF('SIMULATEUR FOYER MONOPARENTAL'!$D$6&lt;Feuil2!$B$10,Feuil2!$F$10,IF('SIMULATEUR FOYER MONOPARENTAL'!$D$6&gt;Feuil2!$B$12,Feuil2!$F$12,Feuil2!$F$11)),0)</f>
        <v>0</v>
      </c>
      <c r="F12" s="35">
        <f>IF(AND('SIMULATEUR FOYER MONOPARENTAL'!D2=2,'SIMULATEUR FOYER MONOPARENTAL'!D3="non"),IF('SIMULATEUR FOYER MONOPARENTAL'!D6&lt;Feuil2!B10,Feuil2!H10,IF('SIMULATEUR FOYER MONOPARENTAL'!D6&gt;Feuil2!B12,Feuil2!H12,Feuil2!H11)),0)</f>
        <v>0</v>
      </c>
      <c r="G12" s="37"/>
      <c r="H12" s="35">
        <f>IF(AND('SIMULATEUR FOYER MONOPARENTAL'!$D$2=2,'SIMULATEUR FOYER MONOPARENTAL'!$D$3="non"),IF('SIMULATEUR FOYER MONOPARENTAL'!$D$6&lt;Feuil2!$B$10,Feuil2!$F$10,IF('SIMULATEUR FOYER MONOPARENTAL'!$D$6&gt;Feuil2!$B$12,Feuil2!$F$12,Feuil2!$F$11)),0)</f>
        <v>0</v>
      </c>
      <c r="I12" s="35">
        <f>IF(AND('SIMULATEUR FOYER MONOPARENTAL'!$D$2=2,'SIMULATEUR FOYER MONOPARENTAL'!$D$3="non"),IF('SIMULATEUR FOYER MONOPARENTAL'!$D$6&lt;Feuil2!$B$10,Feuil2!$F$10,IF('SIMULATEUR FOYER MONOPARENTAL'!$D$6&gt;Feuil2!$B$12,Feuil2!$F$12,Feuil2!$F$11)),0)</f>
        <v>0</v>
      </c>
      <c r="J12" s="97"/>
      <c r="K12" s="98"/>
      <c r="N12"/>
    </row>
    <row r="13" spans="2:14" s="7" customFormat="1" x14ac:dyDescent="0.25">
      <c r="B13" s="56"/>
      <c r="C13" s="55"/>
      <c r="D13" s="55"/>
      <c r="E13" s="35">
        <f>IF(AND('SIMULATEUR FOYER MONOPARENTAL'!$D$2=3,'SIMULATEUR FOYER MONOPARENTAL'!$D$3="oui"),IF('SIMULATEUR FOYER MONOPARENTAL'!$D$6&lt;Feuil2!$C$10,Feuil2!$E$10,IF('SIMULATEUR FOYER MONOPARENTAL'!$D$6&gt;Feuil2!$C$12,Feuil2!$E$12,Feuil2!$E$11)),0)</f>
        <v>0</v>
      </c>
      <c r="F13" s="35">
        <f>IF(AND('SIMULATEUR FOYER MONOPARENTAL'!D2=3,'SIMULATEUR FOYER MONOPARENTAL'!D3="oui"),IF('SIMULATEUR FOYER MONOPARENTAL'!D6&lt;Feuil2!C10,Feuil2!G10,IF('SIMULATEUR FOYER MONOPARENTAL'!D6&gt;Feuil2!C12,Feuil2!G12,Feuil2!G11)),0)</f>
        <v>0</v>
      </c>
      <c r="G13" s="37"/>
      <c r="H13" s="35">
        <f>IF(AND('SIMULATEUR FOYER MONOPARENTAL'!$D$2=3,'SIMULATEUR FOYER MONOPARENTAL'!$D$3="oui"),IF('SIMULATEUR FOYER MONOPARENTAL'!$D$6&lt;Feuil2!$C$10,Feuil2!$E$10,IF('SIMULATEUR FOYER MONOPARENTAL'!$D$6&gt;Feuil2!$C$12,Feuil2!$E$12,Feuil2!$E$11)),0)</f>
        <v>0</v>
      </c>
      <c r="I13" s="35">
        <f>IF(AND('SIMULATEUR FOYER MONOPARENTAL'!$D$2=3,'SIMULATEUR FOYER MONOPARENTAL'!$D$3="oui"),IF('SIMULATEUR FOYER MONOPARENTAL'!$D$6&lt;Feuil2!$C$10,Feuil2!$E$10,IF('SIMULATEUR FOYER MONOPARENTAL'!$D$6&gt;Feuil2!$C$12,Feuil2!$E$12,Feuil2!$E$11)),0)</f>
        <v>0</v>
      </c>
      <c r="J13" s="97"/>
      <c r="K13" s="98"/>
      <c r="N13"/>
    </row>
    <row r="14" spans="2:14" s="7" customFormat="1" x14ac:dyDescent="0.25">
      <c r="B14" s="56"/>
      <c r="C14" s="55"/>
      <c r="D14" s="55"/>
      <c r="E14" s="35">
        <f>IF(AND('SIMULATEUR FOYER MONOPARENTAL'!$D$2=3,'SIMULATEUR FOYER MONOPARENTAL'!$D$3="non"),IF('SIMULATEUR FOYER MONOPARENTAL'!$D$6&lt;Feuil2!$C$10,Feuil2!$F$10,IF('SIMULATEUR FOYER MONOPARENTAL'!$D$6&gt;Feuil2!$C$12,Feuil2!$F$12,Feuil2!$F$11)),0)</f>
        <v>0</v>
      </c>
      <c r="F14" s="35">
        <f>IF(AND('SIMULATEUR FOYER MONOPARENTAL'!D2=3,'SIMULATEUR FOYER MONOPARENTAL'!D3="non"),IF('SIMULATEUR FOYER MONOPARENTAL'!D6&lt;Feuil2!C10,Feuil2!H10,IF('SIMULATEUR FOYER MONOPARENTAL'!D6&gt;Feuil2!C12,Feuil2!H12,Feuil2!H11)),0)</f>
        <v>0</v>
      </c>
      <c r="G14" s="37"/>
      <c r="H14" s="35">
        <f>IF(AND('SIMULATEUR FOYER MONOPARENTAL'!$D$2=3,'SIMULATEUR FOYER MONOPARENTAL'!$D$3="non"),IF('SIMULATEUR FOYER MONOPARENTAL'!$D$6&lt;Feuil2!$C$10,Feuil2!$F$10,IF('SIMULATEUR FOYER MONOPARENTAL'!$D$6&gt;Feuil2!$C$12,Feuil2!$F$12,Feuil2!$F$11)),0)</f>
        <v>0</v>
      </c>
      <c r="I14" s="35">
        <f>IF(AND('SIMULATEUR FOYER MONOPARENTAL'!$D$2=3,'SIMULATEUR FOYER MONOPARENTAL'!$D$3="non"),IF('SIMULATEUR FOYER MONOPARENTAL'!$D$6&lt;Feuil2!$C$10,Feuil2!$F$10,IF('SIMULATEUR FOYER MONOPARENTAL'!$D$6&gt;Feuil2!$C$12,Feuil2!$F$12,Feuil2!$F$11)),0)</f>
        <v>0</v>
      </c>
      <c r="J14" s="97"/>
      <c r="K14" s="98"/>
      <c r="N14"/>
    </row>
    <row r="15" spans="2:14" s="7" customFormat="1" x14ac:dyDescent="0.25">
      <c r="B15" s="56"/>
      <c r="C15" s="55"/>
      <c r="D15" s="55"/>
      <c r="E15" s="35">
        <f>IF(AND('SIMULATEUR FOYER MONOPARENTAL'!$D$2&gt;=4,'SIMULATEUR FOYER MONOPARENTAL'!$D$3="oui"),IF('SIMULATEUR FOYER MONOPARENTAL'!$D$6&lt;Feuil2!$D$10,Feuil2!$E$10,IF('SIMULATEUR FOYER MONOPARENTAL'!$D$6&gt;Feuil2!$D$12,Feuil2!$E$12,Feuil2!$E$11)),0)</f>
        <v>0</v>
      </c>
      <c r="F15" s="35">
        <f>IF(AND('SIMULATEUR FOYER MONOPARENTAL'!$D$2&gt;=4,'SIMULATEUR FOYER MONOPARENTAL'!$D$3="oui"),IF('SIMULATEUR FOYER MONOPARENTAL'!$D$6&lt;Feuil2!$D$10,Feuil2!$G$10,IF('SIMULATEUR FOYER MONOPARENTAL'!$D$6&gt;Feuil2!$D$12,Feuil2!$G$12,Feuil2!$G$11)),0)</f>
        <v>0</v>
      </c>
      <c r="G15" s="37"/>
      <c r="H15" s="35">
        <f>IF(AND('SIMULATEUR FOYER MONOPARENTAL'!$D$2&gt;=4,'SIMULATEUR FOYER MONOPARENTAL'!$D$3="oui"),IF('SIMULATEUR FOYER MONOPARENTAL'!$D$6&lt;Feuil2!$D$10,Feuil2!$E$10,IF('SIMULATEUR FOYER MONOPARENTAL'!$D$6&gt;Feuil2!$D$12,Feuil2!$E$12,Feuil2!$E$11)),0)</f>
        <v>0</v>
      </c>
      <c r="I15" s="35">
        <f>IF(AND('SIMULATEUR FOYER MONOPARENTAL'!$D$2&gt;=4,'SIMULATEUR FOYER MONOPARENTAL'!$D$3="oui"),IF('SIMULATEUR FOYER MONOPARENTAL'!$D$6&lt;Feuil2!$D$10,Feuil2!$E$10,IF('SIMULATEUR FOYER MONOPARENTAL'!$D$6&gt;Feuil2!$D$12,Feuil2!$E$12,Feuil2!$E$11)),0)</f>
        <v>0</v>
      </c>
      <c r="J15" s="97"/>
      <c r="K15" s="98"/>
      <c r="N15"/>
    </row>
    <row r="16" spans="2:14" s="7" customFormat="1" x14ac:dyDescent="0.25">
      <c r="B16" s="56"/>
      <c r="C16" s="55"/>
      <c r="D16" s="55"/>
      <c r="E16" s="35">
        <f>IF(AND('SIMULATEUR FOYER MONOPARENTAL'!$D$2&gt;=4,'SIMULATEUR FOYER MONOPARENTAL'!$D$3="NON"),IF('SIMULATEUR FOYER MONOPARENTAL'!$D$6&lt;Feuil2!$D$10,Feuil2!$F$10,IF('SIMULATEUR FOYER MONOPARENTAL'!$D$6&gt;Feuil2!$D$12,Feuil2!$F$12,Feuil2!$F$11)),0)</f>
        <v>0</v>
      </c>
      <c r="F16" s="35">
        <f>IF(AND('SIMULATEUR FOYER MONOPARENTAL'!$D$2&gt;=4,'SIMULATEUR FOYER MONOPARENTAL'!$D$3="NON"),IF('SIMULATEUR FOYER MONOPARENTAL'!$D$6&lt;Feuil2!$D$10,Feuil2!$H$10,IF('SIMULATEUR FOYER MONOPARENTAL'!$D$6&gt;Feuil2!$D$12,Feuil2!$H$12,Feuil2!$H$11)),0)</f>
        <v>0</v>
      </c>
      <c r="G16" s="37"/>
      <c r="H16" s="35">
        <f>IF(AND('SIMULATEUR FOYER MONOPARENTAL'!$D$2&gt;=4,'SIMULATEUR FOYER MONOPARENTAL'!$D$3="NON"),IF('SIMULATEUR FOYER MONOPARENTAL'!$D$6&lt;Feuil2!$D$10,Feuil2!$F$10,IF('SIMULATEUR FOYER MONOPARENTAL'!$D$6&gt;Feuil2!$D$12,Feuil2!$F$12,Feuil2!$F$11)),0)</f>
        <v>0</v>
      </c>
      <c r="I16" s="35">
        <f>IF(AND('SIMULATEUR FOYER MONOPARENTAL'!$D$2&gt;=4,'SIMULATEUR FOYER MONOPARENTAL'!$D$3="NON"),IF('SIMULATEUR FOYER MONOPARENTAL'!$D$6&lt;Feuil2!$D$10,Feuil2!$F$10,IF('SIMULATEUR FOYER MONOPARENTAL'!$D$6&gt;Feuil2!$D$12,Feuil2!$F$12,Feuil2!$F$11)),0)</f>
        <v>0</v>
      </c>
      <c r="J16" s="97"/>
      <c r="K16" s="98"/>
      <c r="N16"/>
    </row>
    <row r="17" spans="2:14" s="7" customFormat="1" x14ac:dyDescent="0.25">
      <c r="B17" s="56"/>
      <c r="C17" s="55"/>
      <c r="D17" s="55"/>
      <c r="E17" s="35"/>
      <c r="F17" s="35">
        <f>IF( 'SIMULATEUR FOYER MONOPARENTAL'!E14&gt;=16,(F9+F10+F11+F12+F13+F14+F15+F16),0)</f>
        <v>964.52</v>
      </c>
      <c r="G17" s="37"/>
      <c r="H17" s="35"/>
      <c r="I17" s="99"/>
      <c r="J17" s="97"/>
      <c r="K17" s="98"/>
      <c r="N17"/>
    </row>
    <row r="18" spans="2:14" s="7" customFormat="1" x14ac:dyDescent="0.25">
      <c r="C18" s="55"/>
      <c r="D18" s="55"/>
      <c r="G18" s="97"/>
      <c r="H18" s="99">
        <f>IF('SIMULATEUR FOYER MONOPARENTAL'!G27*85%&lt;(H9+H10+H11+H12+H13+H14+H15+H16),-'SIMULATEUR FOYER MONOPARENTAL'!G27*85%,-(H9+H10+H11+H12+H13+H14+H15+H16))</f>
        <v>-385.84</v>
      </c>
      <c r="I18" s="99">
        <f>IF('SIMULATEUR FOYER MONOPARENTAL'!H27*85%&lt;(I9+I10+I11+I12+I13+I14+I15+I16),-'SIMULATEUR FOYER MONOPARENTAL'!H27*85%,-(I9+I10+I11+I12+I13+I14+I15+I16))</f>
        <v>-385.84</v>
      </c>
      <c r="J18" s="97"/>
      <c r="K18" s="98"/>
      <c r="N18"/>
    </row>
    <row r="20" spans="2:14" s="7" customFormat="1" x14ac:dyDescent="0.25">
      <c r="B20" s="61"/>
      <c r="C20" s="12"/>
      <c r="D20" s="12"/>
      <c r="E20" s="36">
        <f>IF(('SIMULATEUR FOYER MONOPARENTAL'!D2=1),IF('SIMULATEUR FOYER MONOPARENTAL'!D5/12&lt;=Feuil2!A16,Feuil2!B16,IF('SIMULATEUR FOYER MONOPARENTAL'!D5/12&gt;Feuil2!A18,Feuil2!B18,Feuil2!B17)),0)</f>
        <v>0</v>
      </c>
      <c r="F20" s="36">
        <f>IF(('SIMULATEUR FOYER MONOPARENTAL'!D2=1),IF('SIMULATEUR FOYER MONOPARENTAL'!D5/12&lt;=Feuil2!A16,Feuil2!B16,IF('SIMULATEUR FOYER MONOPARENTAL'!D5/12&gt;Feuil2!A18,Feuil2!B18,Feuil2!B17)),0)</f>
        <v>0</v>
      </c>
      <c r="G20" s="37"/>
      <c r="H20" s="36"/>
      <c r="I20" s="96"/>
      <c r="J20" s="97"/>
      <c r="K20" s="98"/>
      <c r="N20"/>
    </row>
    <row r="21" spans="2:14" s="7" customFormat="1" x14ac:dyDescent="0.25">
      <c r="B21" s="61"/>
      <c r="C21" s="12"/>
      <c r="D21" s="12"/>
      <c r="E21" s="36">
        <f>IF(('SIMULATEUR FOYER MONOPARENTAL'!D2=2),IF('SIMULATEUR FOYER MONOPARENTAL'!D5/12&lt;=Feuil2!C16,Feuil2!D16,IF('SIMULATEUR FOYER MONOPARENTAL'!D5/12&gt;Feuil2!C18,Feuil2!D18,Feuil2!D17)),0)</f>
        <v>0</v>
      </c>
      <c r="F21" s="36">
        <f>IF(('SIMULATEUR FOYER MONOPARENTAL'!D2=2),IF('SIMULATEUR FOYER MONOPARENTAL'!D5/12&lt;=Feuil2!C16,Feuil2!D16,IF('SIMULATEUR FOYER MONOPARENTAL'!D5/12&gt;Feuil2!C18,Feuil2!D18,Feuil2!D17)),0)</f>
        <v>0</v>
      </c>
      <c r="G21" s="37"/>
      <c r="H21" s="36"/>
      <c r="I21" s="99"/>
      <c r="J21" s="97"/>
      <c r="K21" s="98"/>
      <c r="N21"/>
    </row>
    <row r="22" spans="2:14" s="7" customFormat="1" x14ac:dyDescent="0.25">
      <c r="B22" s="61"/>
      <c r="C22" s="12"/>
      <c r="D22" s="12"/>
      <c r="E22" s="36">
        <f>IF(('SIMULATEUR FOYER MONOPARENTAL'!D2&gt;=3),IF('SIMULATEUR FOYER MONOPARENTAL'!D5/12&lt;=Feuil2!E16,Feuil2!F16,0),0)</f>
        <v>0</v>
      </c>
      <c r="F22" s="36">
        <f>IF(('SIMULATEUR FOYER MONOPARENTAL'!$D$2&gt;=3),IF('SIMULATEUR FOYER MONOPARENTAL'!D5/12&lt;=Feuil2!E16,Feuil2!F16,0),0)</f>
        <v>0</v>
      </c>
      <c r="G22" s="37"/>
      <c r="H22" s="36"/>
      <c r="I22" s="35"/>
      <c r="J22" s="97"/>
      <c r="K22" s="98"/>
      <c r="N22"/>
    </row>
    <row r="23" spans="2:14" s="7" customFormat="1" x14ac:dyDescent="0.25">
      <c r="B23" s="56"/>
      <c r="C23" s="55"/>
      <c r="D23" s="55"/>
      <c r="E23" s="36">
        <f>SUM(E20:E22)</f>
        <v>0</v>
      </c>
      <c r="F23" s="36">
        <f>SUM(F20:F22)</f>
        <v>0</v>
      </c>
      <c r="G23" s="37"/>
      <c r="H23" s="36"/>
      <c r="I23" s="99"/>
      <c r="J23" s="37"/>
      <c r="K23" s="70"/>
      <c r="N23"/>
    </row>
    <row r="24" spans="2:14" s="7" customFormat="1" x14ac:dyDescent="0.25">
      <c r="B24" s="61"/>
      <c r="C24" s="55"/>
      <c r="D24" s="55"/>
      <c r="E24" s="35"/>
      <c r="F24" s="35"/>
      <c r="G24" s="37"/>
      <c r="H24" s="36"/>
      <c r="I24" s="100"/>
      <c r="J24" s="97"/>
      <c r="K24" s="70"/>
      <c r="N24"/>
    </row>
    <row r="25" spans="2:14" s="7" customFormat="1" x14ac:dyDescent="0.25">
      <c r="B25" s="102"/>
      <c r="C25" s="55"/>
      <c r="D25" s="103"/>
      <c r="E25" s="38">
        <f>IF('SIMULATEUR FOYER MONOPARENTAL'!D4="non",IF(('SIMULATEUR FOYER MONOPARENTAL'!D14+'SIMULATEUR FOYER MONOPARENTAL'!D15)&lt;120,0,-E23),IF(('SIMULATEUR FOYER MONOPARENTAL'!D14+'SIMULATEUR FOYER MONOPARENTAL'!D15)&lt;60,0,-E23/2))</f>
        <v>0</v>
      </c>
      <c r="F25" s="38">
        <f>IF('SIMULATEUR FOYER MONOPARENTAL'!D4="non",IF(('SIMULATEUR FOYER MONOPARENTAL'!E14+'SIMULATEUR FOYER MONOPARENTAL'!E15)&lt;120,0,-F23),IF(('SIMULATEUR FOYER MONOPARENTAL'!E14+'SIMULATEUR FOYER MONOPARENTAL'!E15)&lt;60,0,-F23/2))</f>
        <v>0</v>
      </c>
      <c r="G25" s="52"/>
      <c r="H25" s="39"/>
      <c r="I25" s="100"/>
      <c r="J25" s="101"/>
      <c r="K25" s="70"/>
      <c r="N25"/>
    </row>
    <row r="26" spans="2:14" s="7" customFormat="1" x14ac:dyDescent="0.25">
      <c r="B26" s="61"/>
      <c r="C26" s="12"/>
      <c r="D26" s="104"/>
      <c r="E26" s="39" t="e">
        <f>IF('SIMULATEUR FOYER MONOPARENTAL'!#REF!="oui",E25,0)</f>
        <v>#REF!</v>
      </c>
      <c r="F26" s="39" t="e">
        <f>IF('SIMULATEUR FOYER MONOPARENTAL'!#REF!="oui",F25,0)</f>
        <v>#REF!</v>
      </c>
      <c r="G26" s="52"/>
      <c r="H26" s="39"/>
      <c r="I26" s="100"/>
      <c r="J26" s="101"/>
      <c r="K26" s="70"/>
      <c r="N26"/>
    </row>
    <row r="28" spans="2:14" s="7" customFormat="1" x14ac:dyDescent="0.25">
      <c r="B28" s="61"/>
      <c r="C28" s="106"/>
      <c r="D28" s="107"/>
      <c r="E28" s="40"/>
      <c r="F28" s="40"/>
      <c r="G28" s="27"/>
      <c r="H28" s="40"/>
      <c r="I28" s="108"/>
      <c r="J28" s="101"/>
      <c r="K28" s="109">
        <f>IF(('SIMULATEUR FOYER MONOPARENTAL'!D2=1),IF('SIMULATEUR FOYER MONOPARENTAL'!D5/12*Feuil2!D37&gt;Feuil2!B37,Feuil2!B37*'SIMULATEUR FOYER MONOPARENTAL'!J15,IF('SIMULATEUR FOYER MONOPARENTAL'!D5/12*Feuil2!D37&lt;Feuil2!C37,Feuil2!C37*'SIMULATEUR FOYER MONOPARENTAL'!J15,'SIMULATEUR FOYER MONOPARENTAL'!D5/12*Feuil2!D37*'SIMULATEUR FOYER MONOPARENTAL'!J15)),0)</f>
        <v>461.25</v>
      </c>
      <c r="N28"/>
    </row>
    <row r="29" spans="2:14" s="7" customFormat="1" x14ac:dyDescent="0.25">
      <c r="B29" s="110"/>
      <c r="C29" s="106"/>
      <c r="D29" s="107"/>
      <c r="E29" s="40"/>
      <c r="F29" s="40"/>
      <c r="G29" s="27"/>
      <c r="H29" s="40"/>
      <c r="I29" s="108"/>
      <c r="J29" s="19"/>
      <c r="K29" s="109">
        <f>IF(('SIMULATEUR FOYER MONOPARENTAL'!D2=2),IF('SIMULATEUR FOYER MONOPARENTAL'!D5/12*Feuil2!D38&gt;Feuil2!B38,Feuil2!B38*'SIMULATEUR FOYER MONOPARENTAL'!J15,IF('SIMULATEUR FOYER MONOPARENTAL'!D5/12*Feuil2!D38&lt;Feuil2!C38,Feuil2!C38*'SIMULATEUR FOYER MONOPARENTAL'!J15,'SIMULATEUR FOYER MONOPARENTAL'!D5/12*Feuil2!D38*'SIMULATEUR FOYER MONOPARENTAL'!J15)),0)</f>
        <v>0</v>
      </c>
      <c r="N29"/>
    </row>
    <row r="30" spans="2:14" s="7" customFormat="1" ht="11.25" x14ac:dyDescent="0.2">
      <c r="B30" s="110"/>
      <c r="C30" s="106"/>
      <c r="D30" s="107"/>
      <c r="E30" s="40"/>
      <c r="F30" s="40"/>
      <c r="G30" s="27"/>
      <c r="H30" s="40"/>
      <c r="I30" s="108"/>
      <c r="J30" s="19"/>
      <c r="K30" s="109">
        <f>IF(('SIMULATEUR FOYER MONOPARENTAL'!D2=3),IF('SIMULATEUR FOYER MONOPARENTAL'!D5/12*Feuil2!D39&gt;Feuil2!B39,Feuil2!B39*'SIMULATEUR FOYER MONOPARENTAL'!J15,IF('SIMULATEUR FOYER MONOPARENTAL'!D5/12*Feuil2!D39&lt;Feuil2!C39,Feuil2!C39*'SIMULATEUR FOYER MONOPARENTAL'!J15,'SIMULATEUR FOYER MONOPARENTAL'!D5/12*Feuil2!D39*'SIMULATEUR FOYER MONOPARENTAL'!J15)),0)</f>
        <v>0</v>
      </c>
    </row>
    <row r="31" spans="2:14" s="7" customFormat="1" ht="11.25" x14ac:dyDescent="0.2">
      <c r="B31" s="110"/>
      <c r="C31" s="106"/>
      <c r="D31" s="107"/>
      <c r="E31" s="40"/>
      <c r="F31" s="40"/>
      <c r="G31" s="27"/>
      <c r="H31" s="40"/>
      <c r="I31" s="108"/>
      <c r="J31" s="19"/>
      <c r="K31" s="109">
        <f>IF(('SIMULATEUR FOYER MONOPARENTAL'!D2&gt;3),IF('SIMULATEUR FOYER MONOPARENTAL'!D5/12*Feuil2!D40&gt;Feuil2!B40,Feuil2!B40*'SIMULATEUR FOYER MONOPARENTAL'!J15,IF('SIMULATEUR FOYER MONOPARENTAL'!D5/12*Feuil2!D40&lt;Feuil2!C40,Feuil2!C40*'SIMULATEUR FOYER MONOPARENTAL'!J15,'SIMULATEUR FOYER MONOPARENTAL'!D5/12*Feuil2!D40*'SIMULATEUR FOYER MONOPARENTAL'!J15)),0)</f>
        <v>0</v>
      </c>
    </row>
    <row r="32" spans="2:14" ht="15" customHeight="1" x14ac:dyDescent="0.25"/>
    <row r="33" spans="2:11" s="7" customFormat="1" ht="11.25" x14ac:dyDescent="0.2">
      <c r="B33" s="66"/>
      <c r="C33" s="12"/>
      <c r="D33" s="12"/>
      <c r="E33" s="32"/>
      <c r="F33" s="32"/>
      <c r="G33" s="27"/>
      <c r="H33" s="116">
        <f>'SIMULATEUR FOYER MONOPARENTAL'!G60-'SIMULATEUR FOYER MONOPARENTAL'!G13*'SIMULATEUR FOYER MONOPARENTAL'!G19+'SIMULATEUR FOYER MONOPARENTAL'!G13*2.65</f>
        <v>2729.98</v>
      </c>
      <c r="I33" s="116">
        <f>'SIMULATEUR FOYER MONOPARENTAL'!H60-'SIMULATEUR FOYER MONOPARENTAL'!H13*'SIMULATEUR FOYER MONOPARENTAL'!H19+'SIMULATEUR FOYER MONOPARENTAL'!H13*2.65</f>
        <v>6953.2</v>
      </c>
      <c r="J33" s="115"/>
      <c r="K33" s="116"/>
    </row>
    <row r="34" spans="2:11" s="7" customFormat="1" ht="11.25" x14ac:dyDescent="0.2">
      <c r="B34" s="117" t="s">
        <v>7</v>
      </c>
      <c r="C34" s="106"/>
      <c r="D34" s="106"/>
      <c r="E34" s="50">
        <f>'SIMULATEUR FOYER MONOPARENTAL'!D8</f>
        <v>4000</v>
      </c>
      <c r="F34" s="50">
        <f>'SIMULATEUR FOYER MONOPARENTAL'!D8</f>
        <v>4000</v>
      </c>
      <c r="G34" s="24"/>
      <c r="H34" s="50">
        <f>'SIMULATEUR FOYER MONOPARENTAL'!D8</f>
        <v>4000</v>
      </c>
      <c r="I34" s="50">
        <f>'SIMULATEUR FOYER MONOPARENTAL'!D8</f>
        <v>4000</v>
      </c>
      <c r="J34" s="115"/>
      <c r="K34" s="50">
        <f>'SIMULATEUR FOYER MONOPARENTAL'!D8</f>
        <v>4000</v>
      </c>
    </row>
    <row r="35" spans="2:11" s="7" customFormat="1" ht="11.25" x14ac:dyDescent="0.2">
      <c r="B35" s="57" t="s">
        <v>33</v>
      </c>
      <c r="C35" s="11"/>
      <c r="D35" s="11"/>
      <c r="E35" s="49">
        <f>IF(('SIMULATEUR FOYER MONOPARENTAL'!D2=1),IF('SIMULATEUR FOYER MONOPARENTAL'!D60&gt;Feuil2!F21,-Feuil2!F21/2,-('SIMULATEUR FOYER MONOPARENTAL'!D60)/2),IF(('SIMULATEUR FOYER MONOPARENTAL'!D60)&gt;Feuil2!F22,-Feuil2!F22/2,-('SIMULATEUR FOYER MONOPARENTAL'!D60)/2))</f>
        <v>-4339.8599999999997</v>
      </c>
      <c r="F35" s="49">
        <f>IF(('SIMULATEUR FOYER MONOPARENTAL'!D2=1),IF('SIMULATEUR FOYER MONOPARENTAL'!E60&gt;Feuil2!F21,-Feuil2!F21/2,-'SIMULATEUR FOYER MONOPARENTAL'!E60/2),IF('SIMULATEUR FOYER MONOPARENTAL'!E60&gt;Feuil2!F22,-Feuil2!F22/2,-'SIMULATEUR FOYER MONOPARENTAL'!E60/2))</f>
        <v>-6750</v>
      </c>
      <c r="G35" s="37"/>
      <c r="H35" s="118">
        <f>IF(H33&gt;Feuil2!C27,-(Feuil2!C27)/2,-H33/2)</f>
        <v>-1150</v>
      </c>
      <c r="I35" s="118">
        <f>IF(I33&gt;Feuil2!C27,-(Feuil2!C27)/2,-I33/2)</f>
        <v>-1150</v>
      </c>
      <c r="J35" s="24"/>
      <c r="K35" s="118">
        <f>IF('SIMULATEUR FOYER MONOPARENTAL'!J60&gt;Feuil2!C27,-(Feuil2!C27)/2,-'SIMULATEUR FOYER MONOPARENTAL'!J60/2)</f>
        <v>-1150</v>
      </c>
    </row>
    <row r="36" spans="2:11" s="7" customFormat="1" ht="11.25" x14ac:dyDescent="0.2">
      <c r="B36" s="61"/>
      <c r="C36" s="55"/>
      <c r="D36" s="55"/>
      <c r="E36" s="35">
        <f>IF(-E35&gt;E34,E34,-E35)</f>
        <v>4000</v>
      </c>
      <c r="F36" s="35">
        <f>IF(-F35&gt;F34,F34,-F35)</f>
        <v>4000</v>
      </c>
      <c r="G36" s="37"/>
      <c r="H36" s="36"/>
      <c r="I36" s="36"/>
      <c r="J36" s="119"/>
      <c r="K36" s="36"/>
    </row>
    <row r="37" spans="2:11" s="7" customFormat="1" ht="11.25" x14ac:dyDescent="0.2">
      <c r="B37" s="102" t="s">
        <v>43</v>
      </c>
      <c r="C37" s="12"/>
      <c r="D37" s="12"/>
      <c r="E37" s="36">
        <f>-E36</f>
        <v>-4000</v>
      </c>
      <c r="F37" s="36">
        <f>-F36</f>
        <v>-4000</v>
      </c>
      <c r="G37" s="37"/>
      <c r="H37" s="36"/>
      <c r="I37" s="36"/>
      <c r="J37" s="37"/>
      <c r="K37" s="36"/>
    </row>
  </sheetData>
  <sheetProtection password="E32B" sheet="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7"/>
  <sheetViews>
    <sheetView topLeftCell="A6" workbookViewId="0">
      <selection activeCell="J21" sqref="J21"/>
    </sheetView>
  </sheetViews>
  <sheetFormatPr baseColWidth="10" defaultRowHeight="15" x14ac:dyDescent="0.25"/>
  <cols>
    <col min="1" max="1" width="23.42578125" customWidth="1"/>
  </cols>
  <sheetData>
    <row r="1" spans="1:8" x14ac:dyDescent="0.25">
      <c r="A1" t="s">
        <v>131</v>
      </c>
      <c r="B1" s="163">
        <f>'SIMULATEUR FOYER MONOPARENTAL'!D18</f>
        <v>1160.7</v>
      </c>
      <c r="C1">
        <f>'SIMULATEUR FOYER MONOPARENTAL'!D15*'SIMULATEUR FOYER MONOPARENTAL'!D12*125%</f>
        <v>238.5</v>
      </c>
    </row>
    <row r="2" spans="1:8" x14ac:dyDescent="0.25">
      <c r="A2" s="298" t="s">
        <v>132</v>
      </c>
      <c r="B2" s="442">
        <f>E27</f>
        <v>0.41810000000000003</v>
      </c>
    </row>
    <row r="3" spans="1:8" ht="15.75" thickBot="1" x14ac:dyDescent="0.3">
      <c r="A3" t="s">
        <v>140</v>
      </c>
      <c r="B3" s="442">
        <f>G27</f>
        <v>0.33629999999999999</v>
      </c>
    </row>
    <row r="4" spans="1:8" x14ac:dyDescent="0.25">
      <c r="A4" s="318" t="s">
        <v>113</v>
      </c>
      <c r="B4" s="319"/>
      <c r="C4" s="320"/>
      <c r="D4" s="321">
        <f>$B$1*98.25%</f>
        <v>1140.3900000000001</v>
      </c>
      <c r="E4" s="322"/>
      <c r="F4" s="323"/>
      <c r="G4" s="324">
        <v>6.8000000000000005E-2</v>
      </c>
      <c r="H4" s="325">
        <f>D4*G4</f>
        <v>77.55</v>
      </c>
    </row>
    <row r="5" spans="1:8" x14ac:dyDescent="0.25">
      <c r="A5" s="299" t="s">
        <v>114</v>
      </c>
      <c r="B5" s="300"/>
      <c r="C5" s="301"/>
      <c r="D5" s="302">
        <f>$B$1*98.25%</f>
        <v>1140.3900000000001</v>
      </c>
      <c r="E5" s="303"/>
      <c r="F5" s="304"/>
      <c r="G5" s="305">
        <v>2.4E-2</v>
      </c>
      <c r="H5" s="306">
        <f>D5*G5</f>
        <v>27.37</v>
      </c>
    </row>
    <row r="6" spans="1:8" x14ac:dyDescent="0.25">
      <c r="A6" s="299" t="s">
        <v>115</v>
      </c>
      <c r="B6" s="300"/>
      <c r="C6" s="301"/>
      <c r="D6" s="302">
        <f>$B$1*98.25%</f>
        <v>1140.3900000000001</v>
      </c>
      <c r="E6" s="307"/>
      <c r="F6" s="304"/>
      <c r="G6" s="305">
        <v>5.0000000000000001E-3</v>
      </c>
      <c r="H6" s="306">
        <f>D6*G6</f>
        <v>5.7</v>
      </c>
    </row>
    <row r="7" spans="1:8" x14ac:dyDescent="0.25">
      <c r="A7" s="299" t="s">
        <v>116</v>
      </c>
      <c r="B7" s="300"/>
      <c r="C7" s="301"/>
      <c r="D7" s="302">
        <f>$B$1</f>
        <v>1160.7</v>
      </c>
      <c r="E7" s="439">
        <v>0.13</v>
      </c>
      <c r="F7" s="469">
        <f>ROUND(D7*E7,2)</f>
        <v>150.88999999999999</v>
      </c>
      <c r="G7" s="439">
        <v>0</v>
      </c>
      <c r="H7" s="306">
        <f t="shared" ref="H7:H17" si="0">D7*G7</f>
        <v>0</v>
      </c>
    </row>
    <row r="8" spans="1:8" x14ac:dyDescent="0.25">
      <c r="A8" s="299" t="s">
        <v>117</v>
      </c>
      <c r="B8" s="300"/>
      <c r="C8" s="301"/>
      <c r="D8" s="302">
        <f t="shared" ref="D8:D21" si="1">$B$1</f>
        <v>1160.7</v>
      </c>
      <c r="E8" s="439">
        <v>8.5500000000000007E-2</v>
      </c>
      <c r="F8" s="469">
        <f t="shared" ref="F8:F20" si="2">ROUND(D8*E8,2)</f>
        <v>99.24</v>
      </c>
      <c r="G8" s="439">
        <v>6.9000000000000006E-2</v>
      </c>
      <c r="H8" s="306">
        <f t="shared" si="0"/>
        <v>80.09</v>
      </c>
    </row>
    <row r="9" spans="1:8" x14ac:dyDescent="0.25">
      <c r="A9" s="299"/>
      <c r="B9" s="300"/>
      <c r="C9" s="301"/>
      <c r="D9" s="302">
        <f t="shared" si="1"/>
        <v>1160.7</v>
      </c>
      <c r="E9" s="439">
        <v>1.9E-2</v>
      </c>
      <c r="F9" s="469">
        <f t="shared" si="2"/>
        <v>22.05</v>
      </c>
      <c r="G9" s="439">
        <v>4.0000000000000001E-3</v>
      </c>
      <c r="H9" s="306">
        <f t="shared" si="0"/>
        <v>4.6399999999999997</v>
      </c>
    </row>
    <row r="10" spans="1:8" x14ac:dyDescent="0.25">
      <c r="A10" s="299" t="s">
        <v>118</v>
      </c>
      <c r="B10" s="300"/>
      <c r="C10" s="301"/>
      <c r="D10" s="302">
        <f t="shared" si="1"/>
        <v>1160.7</v>
      </c>
      <c r="E10" s="439">
        <v>3.9399999999999998E-2</v>
      </c>
      <c r="F10" s="469">
        <f t="shared" si="2"/>
        <v>45.73</v>
      </c>
      <c r="G10" s="439">
        <v>3.9300000000000002E-2</v>
      </c>
      <c r="H10" s="306">
        <f t="shared" si="0"/>
        <v>45.62</v>
      </c>
    </row>
    <row r="11" spans="1:8" x14ac:dyDescent="0.25">
      <c r="A11" s="308" t="s">
        <v>151</v>
      </c>
      <c r="B11" s="309"/>
      <c r="C11" s="467"/>
      <c r="D11" s="468">
        <f>C1</f>
        <v>238.5</v>
      </c>
      <c r="E11" s="470"/>
      <c r="F11" s="471"/>
      <c r="G11" s="470">
        <v>0.11310000000000001</v>
      </c>
      <c r="H11" s="310">
        <f>-G11*D11</f>
        <v>-26.97</v>
      </c>
    </row>
    <row r="12" spans="1:8" x14ac:dyDescent="0.25">
      <c r="A12" s="299" t="s">
        <v>119</v>
      </c>
      <c r="B12" s="300"/>
      <c r="C12" s="301"/>
      <c r="D12" s="302">
        <f t="shared" si="1"/>
        <v>1160.7</v>
      </c>
      <c r="E12" s="439">
        <v>4.0500000000000001E-2</v>
      </c>
      <c r="F12" s="469">
        <f t="shared" si="2"/>
        <v>47.01</v>
      </c>
      <c r="G12" s="439"/>
      <c r="H12" s="306">
        <f t="shared" si="0"/>
        <v>0</v>
      </c>
    </row>
    <row r="13" spans="1:8" x14ac:dyDescent="0.25">
      <c r="A13" s="299" t="s">
        <v>120</v>
      </c>
      <c r="B13" s="300"/>
      <c r="C13" s="301"/>
      <c r="D13" s="302">
        <f t="shared" si="1"/>
        <v>1160.7</v>
      </c>
      <c r="E13" s="439">
        <v>1.29E-2</v>
      </c>
      <c r="F13" s="469">
        <f t="shared" si="2"/>
        <v>14.97</v>
      </c>
      <c r="G13" s="439">
        <v>8.6E-3</v>
      </c>
      <c r="H13" s="306">
        <f t="shared" si="0"/>
        <v>9.98</v>
      </c>
    </row>
    <row r="14" spans="1:8" x14ac:dyDescent="0.25">
      <c r="A14" s="299" t="s">
        <v>121</v>
      </c>
      <c r="B14" s="301"/>
      <c r="C14" s="301"/>
      <c r="D14" s="302">
        <f t="shared" si="1"/>
        <v>1160.7</v>
      </c>
      <c r="E14" s="439">
        <v>5.2499999999999998E-2</v>
      </c>
      <c r="F14" s="469">
        <f t="shared" si="2"/>
        <v>60.94</v>
      </c>
      <c r="G14" s="439"/>
      <c r="H14" s="306">
        <f t="shared" si="0"/>
        <v>0</v>
      </c>
    </row>
    <row r="15" spans="1:8" x14ac:dyDescent="0.25">
      <c r="A15" s="299" t="s">
        <v>122</v>
      </c>
      <c r="B15" s="301"/>
      <c r="C15" s="301"/>
      <c r="D15" s="302">
        <f t="shared" si="1"/>
        <v>1160.7</v>
      </c>
      <c r="E15" s="439">
        <v>1.9E-2</v>
      </c>
      <c r="F15" s="469">
        <f t="shared" si="2"/>
        <v>22.05</v>
      </c>
      <c r="G15" s="439"/>
      <c r="H15" s="306">
        <f t="shared" si="0"/>
        <v>0</v>
      </c>
    </row>
    <row r="16" spans="1:8" x14ac:dyDescent="0.25">
      <c r="A16" s="299" t="s">
        <v>123</v>
      </c>
      <c r="B16" s="301"/>
      <c r="C16" s="301"/>
      <c r="D16" s="302">
        <f t="shared" si="1"/>
        <v>1160.7</v>
      </c>
      <c r="E16" s="305">
        <v>1E-3</v>
      </c>
      <c r="F16" s="304">
        <f t="shared" si="2"/>
        <v>1.1599999999999999</v>
      </c>
      <c r="G16" s="305"/>
      <c r="H16" s="306">
        <f t="shared" si="0"/>
        <v>0</v>
      </c>
    </row>
    <row r="17" spans="1:8" x14ac:dyDescent="0.25">
      <c r="A17" s="299" t="s">
        <v>124</v>
      </c>
      <c r="B17" s="300"/>
      <c r="C17" s="301"/>
      <c r="D17" s="302">
        <f t="shared" si="1"/>
        <v>1160.7</v>
      </c>
      <c r="E17" s="305">
        <v>9.5999999999999992E-3</v>
      </c>
      <c r="F17" s="304">
        <f t="shared" si="2"/>
        <v>11.14</v>
      </c>
      <c r="G17" s="305">
        <v>7.0000000000000001E-3</v>
      </c>
      <c r="H17" s="306">
        <f t="shared" si="0"/>
        <v>8.1199999999999992</v>
      </c>
    </row>
    <row r="18" spans="1:8" x14ac:dyDescent="0.25">
      <c r="A18" s="299" t="s">
        <v>125</v>
      </c>
      <c r="B18" s="301"/>
      <c r="C18" s="301"/>
      <c r="D18" s="302">
        <f t="shared" si="1"/>
        <v>1160.7</v>
      </c>
      <c r="E18" s="305">
        <v>5.4999999999999997E-3</v>
      </c>
      <c r="F18" s="304">
        <f t="shared" si="2"/>
        <v>6.38</v>
      </c>
      <c r="G18" s="305"/>
      <c r="H18" s="306"/>
    </row>
    <row r="19" spans="1:8" x14ac:dyDescent="0.25">
      <c r="A19" s="299" t="s">
        <v>126</v>
      </c>
      <c r="B19" s="301"/>
      <c r="C19" s="301"/>
      <c r="D19" s="302">
        <f t="shared" si="1"/>
        <v>1160.7</v>
      </c>
      <c r="E19" s="305">
        <v>1.6000000000000001E-4</v>
      </c>
      <c r="F19" s="304">
        <f t="shared" si="2"/>
        <v>0.19</v>
      </c>
      <c r="G19" s="305"/>
      <c r="H19" s="306"/>
    </row>
    <row r="20" spans="1:8" x14ac:dyDescent="0.25">
      <c r="A20" s="299" t="s">
        <v>127</v>
      </c>
      <c r="B20" s="301"/>
      <c r="C20" s="301"/>
      <c r="D20" s="302">
        <f t="shared" si="1"/>
        <v>1160.7</v>
      </c>
      <c r="E20" s="305">
        <v>3.0000000000000001E-3</v>
      </c>
      <c r="F20" s="304">
        <f t="shared" si="2"/>
        <v>3.48</v>
      </c>
      <c r="G20" s="303"/>
      <c r="H20" s="306"/>
    </row>
    <row r="21" spans="1:8" x14ac:dyDescent="0.25">
      <c r="A21" s="308" t="s">
        <v>128</v>
      </c>
      <c r="B21" s="309"/>
      <c r="C21" s="301"/>
      <c r="D21" s="302">
        <f t="shared" si="1"/>
        <v>1160.7</v>
      </c>
      <c r="E21" s="303"/>
      <c r="F21" s="310">
        <f>(SUM(F7:F20))</f>
        <v>485.23</v>
      </c>
      <c r="G21" s="303"/>
      <c r="H21" s="310">
        <f>SUM(H4:H17)</f>
        <v>232.1</v>
      </c>
    </row>
    <row r="22" spans="1:8" x14ac:dyDescent="0.25">
      <c r="A22" s="308" t="s">
        <v>129</v>
      </c>
      <c r="B22" s="309"/>
      <c r="C22" s="301"/>
      <c r="D22" s="302"/>
      <c r="E22" s="303"/>
      <c r="F22" s="311">
        <f>'1'!E37</f>
        <v>178.11</v>
      </c>
      <c r="G22" s="303"/>
      <c r="H22" s="310"/>
    </row>
    <row r="23" spans="1:8" ht="15.75" thickBot="1" x14ac:dyDescent="0.3">
      <c r="A23" s="312" t="s">
        <v>130</v>
      </c>
      <c r="B23" s="313"/>
      <c r="C23" s="314"/>
      <c r="D23" s="315"/>
      <c r="E23" s="316"/>
      <c r="F23" s="317">
        <f>F21-F22</f>
        <v>307.12</v>
      </c>
      <c r="G23" s="316"/>
      <c r="H23" s="317"/>
    </row>
    <row r="24" spans="1:8" x14ac:dyDescent="0.25">
      <c r="G24" s="441">
        <f>SUM(G7:G9)</f>
        <v>7.2999999999999995E-2</v>
      </c>
    </row>
    <row r="25" spans="1:8" x14ac:dyDescent="0.25">
      <c r="A25" s="446" t="s">
        <v>136</v>
      </c>
      <c r="E25" s="441">
        <f>SUM(E7:E9,E14:E15)</f>
        <v>0.30599999999999999</v>
      </c>
      <c r="G25" s="441">
        <f>SUM(G10:G17)</f>
        <v>0.16800000000000001</v>
      </c>
    </row>
    <row r="26" spans="1:8" ht="15.75" thickBot="1" x14ac:dyDescent="0.3">
      <c r="A26" s="446" t="s">
        <v>137</v>
      </c>
      <c r="E26" s="441">
        <f>SUM(E10:E13,E16:E20)</f>
        <v>0.11206000000000001</v>
      </c>
      <c r="G26" s="441">
        <f>SUM(G24:G25)</f>
        <v>0.24099999999999999</v>
      </c>
    </row>
    <row r="27" spans="1:8" ht="15.75" thickBot="1" x14ac:dyDescent="0.3">
      <c r="D27" s="447" t="s">
        <v>139</v>
      </c>
      <c r="E27" s="448">
        <f>SUM(E25:E26)</f>
        <v>0.41810000000000003</v>
      </c>
      <c r="G27" s="449">
        <f>SUM(G4:G6)*98.25%+G26</f>
        <v>0.33629999999999999</v>
      </c>
    </row>
  </sheetData>
  <sheetProtection password="E32B"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5"/>
  <sheetViews>
    <sheetView zoomScale="60" zoomScaleNormal="60" workbookViewId="0">
      <selection activeCell="Q22" sqref="Q22"/>
    </sheetView>
  </sheetViews>
  <sheetFormatPr baseColWidth="10" defaultRowHeight="15" x14ac:dyDescent="0.25"/>
  <cols>
    <col min="1" max="1" width="24.28515625" customWidth="1"/>
  </cols>
  <sheetData>
    <row r="1" spans="1:18" x14ac:dyDescent="0.25">
      <c r="A1" s="298" t="s">
        <v>131</v>
      </c>
      <c r="B1" s="163">
        <f>'SIMULATEUR FOYER MONOPARENTAL'!G18</f>
        <v>780</v>
      </c>
      <c r="C1" s="298">
        <f>ROUND('SIMULATEUR FOYER MONOPARENTAL'!G15*'SIMULATEUR FOYER MONOPARENTAL'!G12*(1+'SIMULATEUR FOYER MONOPARENTAL'!G17),2)</f>
        <v>0</v>
      </c>
      <c r="D1">
        <f>'SIMULATEUR FOYER MONOPARENTAL'!G16*'SIMULATEUR FOYER MONOPARENTAL'!G12</f>
        <v>0</v>
      </c>
      <c r="K1" s="298" t="s">
        <v>131</v>
      </c>
      <c r="L1" s="163">
        <f>'SIMULATEUR FOYER MONOPARENTAL'!H18</f>
        <v>1152.8</v>
      </c>
    </row>
    <row r="2" spans="1:18" x14ac:dyDescent="0.25">
      <c r="A2" s="298"/>
    </row>
    <row r="5" spans="1:18" ht="15.75" thickBot="1" x14ac:dyDescent="0.3"/>
    <row r="6" spans="1:18" ht="15.75" thickBot="1" x14ac:dyDescent="0.3">
      <c r="A6" s="318" t="s">
        <v>113</v>
      </c>
      <c r="B6" s="319"/>
      <c r="C6" s="320"/>
      <c r="D6" s="321">
        <f>$B$1*98.25%</f>
        <v>766.35</v>
      </c>
      <c r="E6" s="322"/>
      <c r="F6" s="323"/>
      <c r="G6" s="451">
        <v>6.8000000000000005E-2</v>
      </c>
      <c r="H6" s="327">
        <f>D6*G6</f>
        <v>52.11</v>
      </c>
      <c r="K6" s="318" t="s">
        <v>113</v>
      </c>
      <c r="L6" s="319"/>
      <c r="M6" s="320"/>
      <c r="N6" s="321">
        <f>$L$1*98.25%</f>
        <v>1132.6300000000001</v>
      </c>
      <c r="O6" s="322"/>
      <c r="P6" s="323"/>
      <c r="Q6" s="451">
        <v>6.8000000000000005E-2</v>
      </c>
      <c r="R6" s="327">
        <f>N6*Q6</f>
        <v>77.02</v>
      </c>
    </row>
    <row r="7" spans="1:18" ht="15.75" thickBot="1" x14ac:dyDescent="0.3">
      <c r="A7" s="299" t="s">
        <v>114</v>
      </c>
      <c r="B7" s="300"/>
      <c r="C7" s="301"/>
      <c r="D7" s="302">
        <f>$B$1*98.25%</f>
        <v>766.35</v>
      </c>
      <c r="E7" s="303"/>
      <c r="F7" s="304"/>
      <c r="G7" s="305">
        <v>2.4E-2</v>
      </c>
      <c r="H7" s="326">
        <f>D7*G7</f>
        <v>18.39</v>
      </c>
      <c r="K7" s="299" t="s">
        <v>114</v>
      </c>
      <c r="L7" s="300"/>
      <c r="M7" s="301"/>
      <c r="N7" s="321">
        <f>$L$1*98.25%</f>
        <v>1132.6300000000001</v>
      </c>
      <c r="O7" s="303"/>
      <c r="P7" s="304"/>
      <c r="Q7" s="305">
        <v>2.4E-2</v>
      </c>
      <c r="R7" s="326">
        <f>N7*Q7</f>
        <v>27.18</v>
      </c>
    </row>
    <row r="8" spans="1:18" x14ac:dyDescent="0.25">
      <c r="A8" s="299" t="s">
        <v>115</v>
      </c>
      <c r="B8" s="300"/>
      <c r="C8" s="301"/>
      <c r="D8" s="302">
        <f>$B$1*98.25%</f>
        <v>766.35</v>
      </c>
      <c r="E8" s="307"/>
      <c r="F8" s="304"/>
      <c r="G8" s="305">
        <v>5.0000000000000001E-3</v>
      </c>
      <c r="H8" s="326">
        <f>D8*G8</f>
        <v>3.83</v>
      </c>
      <c r="K8" s="299" t="s">
        <v>115</v>
      </c>
      <c r="L8" s="300"/>
      <c r="M8" s="301"/>
      <c r="N8" s="321">
        <f>$L$1*98.25%</f>
        <v>1132.6300000000001</v>
      </c>
      <c r="O8" s="307"/>
      <c r="P8" s="304"/>
      <c r="Q8" s="305">
        <v>5.0000000000000001E-3</v>
      </c>
      <c r="R8" s="326">
        <f>N8*Q8</f>
        <v>5.66</v>
      </c>
    </row>
    <row r="9" spans="1:18" x14ac:dyDescent="0.25">
      <c r="A9" s="299" t="s">
        <v>116</v>
      </c>
      <c r="B9" s="300"/>
      <c r="C9" s="301"/>
      <c r="D9" s="302">
        <f>$B$1</f>
        <v>780</v>
      </c>
      <c r="E9" s="437">
        <v>0.13</v>
      </c>
      <c r="F9" s="304">
        <f>ROUND(D9*E9,2)</f>
        <v>101.4</v>
      </c>
      <c r="G9" s="437">
        <v>0</v>
      </c>
      <c r="H9" s="326">
        <f t="shared" ref="H9:H19" si="0">D9*G9</f>
        <v>0</v>
      </c>
      <c r="K9" s="299" t="s">
        <v>116</v>
      </c>
      <c r="L9" s="300"/>
      <c r="M9" s="301"/>
      <c r="N9" s="302">
        <f t="shared" ref="N9:N23" si="1">$L$1</f>
        <v>1152.8</v>
      </c>
      <c r="O9" s="437">
        <v>0.13</v>
      </c>
      <c r="P9" s="304">
        <f>ROUND(N9*O9,2)</f>
        <v>149.86000000000001</v>
      </c>
      <c r="Q9" s="437">
        <v>0</v>
      </c>
      <c r="R9" s="326">
        <f t="shared" ref="R9:R19" si="2">N9*Q9</f>
        <v>0</v>
      </c>
    </row>
    <row r="10" spans="1:18" x14ac:dyDescent="0.25">
      <c r="A10" s="299" t="s">
        <v>117</v>
      </c>
      <c r="B10" s="300"/>
      <c r="C10" s="301"/>
      <c r="D10" s="302">
        <f t="shared" ref="D10:D23" si="3">$B$1</f>
        <v>780</v>
      </c>
      <c r="E10" s="439">
        <v>8.5500000000000007E-2</v>
      </c>
      <c r="F10" s="438">
        <f>ROUND(D10*E10,2)</f>
        <v>66.69</v>
      </c>
      <c r="G10" s="437">
        <v>6.9000000000000006E-2</v>
      </c>
      <c r="H10" s="326">
        <f t="shared" si="0"/>
        <v>53.82</v>
      </c>
      <c r="K10" s="299" t="s">
        <v>117</v>
      </c>
      <c r="L10" s="300"/>
      <c r="M10" s="301"/>
      <c r="N10" s="302">
        <f t="shared" si="1"/>
        <v>1152.8</v>
      </c>
      <c r="O10" s="439">
        <v>8.5500000000000007E-2</v>
      </c>
      <c r="P10" s="438">
        <f>ROUND(N10*O10,2)</f>
        <v>98.56</v>
      </c>
      <c r="Q10" s="437">
        <v>6.9000000000000006E-2</v>
      </c>
      <c r="R10" s="326">
        <f t="shared" si="2"/>
        <v>79.540000000000006</v>
      </c>
    </row>
    <row r="11" spans="1:18" x14ac:dyDescent="0.25">
      <c r="A11" s="307"/>
      <c r="B11" s="300"/>
      <c r="C11" s="301"/>
      <c r="D11" s="302">
        <f t="shared" si="3"/>
        <v>780</v>
      </c>
      <c r="E11" s="439">
        <v>1.9E-2</v>
      </c>
      <c r="F11" s="438">
        <f t="shared" ref="F11:F22" si="4">ROUND(D11*E11,2)</f>
        <v>14.82</v>
      </c>
      <c r="G11" s="437">
        <v>4.0000000000000001E-3</v>
      </c>
      <c r="H11" s="326">
        <f t="shared" si="0"/>
        <v>3.12</v>
      </c>
      <c r="K11" s="307"/>
      <c r="L11" s="300"/>
      <c r="M11" s="301"/>
      <c r="N11" s="302">
        <f t="shared" si="1"/>
        <v>1152.8</v>
      </c>
      <c r="O11" s="437">
        <v>1.9E-2</v>
      </c>
      <c r="P11" s="438">
        <f t="shared" ref="P11:P22" si="5">ROUND(N11*O11,2)</f>
        <v>21.9</v>
      </c>
      <c r="Q11" s="437">
        <v>4.0000000000000001E-3</v>
      </c>
      <c r="R11" s="326">
        <f t="shared" si="2"/>
        <v>4.6100000000000003</v>
      </c>
    </row>
    <row r="12" spans="1:18" x14ac:dyDescent="0.25">
      <c r="A12" s="299" t="s">
        <v>118</v>
      </c>
      <c r="B12" s="300"/>
      <c r="C12" s="301"/>
      <c r="D12" s="302">
        <f t="shared" si="3"/>
        <v>780</v>
      </c>
      <c r="E12" s="437">
        <v>4.7199999999999999E-2</v>
      </c>
      <c r="F12" s="304">
        <f t="shared" si="4"/>
        <v>36.82</v>
      </c>
      <c r="G12" s="305">
        <v>3.15E-2</v>
      </c>
      <c r="H12" s="326">
        <f t="shared" si="0"/>
        <v>24.57</v>
      </c>
      <c r="K12" s="299" t="s">
        <v>118</v>
      </c>
      <c r="L12" s="300"/>
      <c r="M12" s="301"/>
      <c r="N12" s="302">
        <f t="shared" si="1"/>
        <v>1152.8</v>
      </c>
      <c r="O12" s="437">
        <v>4.7199999999999999E-2</v>
      </c>
      <c r="P12" s="304">
        <f t="shared" si="5"/>
        <v>54.41</v>
      </c>
      <c r="Q12" s="305">
        <v>3.15E-2</v>
      </c>
      <c r="R12" s="326">
        <f t="shared" si="2"/>
        <v>36.31</v>
      </c>
    </row>
    <row r="13" spans="1:18" x14ac:dyDescent="0.25">
      <c r="A13" s="299" t="s">
        <v>152</v>
      </c>
      <c r="B13" s="300"/>
      <c r="C13" s="301"/>
      <c r="D13" s="302">
        <f>SUM(C1+D1)</f>
        <v>0</v>
      </c>
      <c r="E13" s="437"/>
      <c r="F13" s="304"/>
      <c r="G13" s="305">
        <v>0.11310000000000001</v>
      </c>
      <c r="H13" s="326">
        <f>-G13*D13</f>
        <v>0</v>
      </c>
      <c r="K13" s="299" t="s">
        <v>152</v>
      </c>
      <c r="L13" s="300"/>
      <c r="M13" s="301"/>
      <c r="N13" s="302"/>
      <c r="O13" s="437"/>
      <c r="P13" s="304"/>
      <c r="Q13" s="305">
        <v>0.11310000000000001</v>
      </c>
      <c r="R13" s="326">
        <f>-Q13*N13</f>
        <v>0</v>
      </c>
    </row>
    <row r="14" spans="1:18" x14ac:dyDescent="0.25">
      <c r="A14" s="299" t="s">
        <v>119</v>
      </c>
      <c r="B14" s="300"/>
      <c r="C14" s="301"/>
      <c r="D14" s="302">
        <f t="shared" si="3"/>
        <v>780</v>
      </c>
      <c r="E14" s="305">
        <v>4.0500000000000001E-2</v>
      </c>
      <c r="F14" s="304">
        <f t="shared" si="4"/>
        <v>31.59</v>
      </c>
      <c r="G14" s="437"/>
      <c r="H14" s="326"/>
      <c r="K14" s="299" t="s">
        <v>119</v>
      </c>
      <c r="L14" s="300"/>
      <c r="M14" s="301"/>
      <c r="N14" s="302">
        <f t="shared" si="1"/>
        <v>1152.8</v>
      </c>
      <c r="O14" s="305">
        <v>4.0500000000000001E-2</v>
      </c>
      <c r="P14" s="304">
        <f t="shared" si="5"/>
        <v>46.69</v>
      </c>
      <c r="Q14" s="437"/>
      <c r="R14" s="326">
        <f t="shared" si="2"/>
        <v>0</v>
      </c>
    </row>
    <row r="15" spans="1:18" x14ac:dyDescent="0.25">
      <c r="A15" s="299" t="s">
        <v>120</v>
      </c>
      <c r="B15" s="300"/>
      <c r="C15" s="301"/>
      <c r="D15" s="302">
        <f t="shared" si="3"/>
        <v>780</v>
      </c>
      <c r="E15" s="305">
        <v>1.29E-2</v>
      </c>
      <c r="F15" s="304">
        <f t="shared" si="4"/>
        <v>10.06</v>
      </c>
      <c r="G15" s="305">
        <v>8.6E-3</v>
      </c>
      <c r="H15" s="326">
        <f t="shared" si="0"/>
        <v>6.71</v>
      </c>
      <c r="K15" s="299" t="s">
        <v>120</v>
      </c>
      <c r="L15" s="300"/>
      <c r="M15" s="301"/>
      <c r="N15" s="302">
        <f t="shared" si="1"/>
        <v>1152.8</v>
      </c>
      <c r="O15" s="305">
        <v>1.29E-2</v>
      </c>
      <c r="P15" s="304">
        <f t="shared" si="5"/>
        <v>14.87</v>
      </c>
      <c r="Q15" s="305">
        <v>8.6E-3</v>
      </c>
      <c r="R15" s="326">
        <f t="shared" si="2"/>
        <v>9.91</v>
      </c>
    </row>
    <row r="16" spans="1:18" x14ac:dyDescent="0.25">
      <c r="A16" s="299" t="s">
        <v>121</v>
      </c>
      <c r="B16" s="301"/>
      <c r="C16" s="301"/>
      <c r="D16" s="302">
        <f t="shared" si="3"/>
        <v>780</v>
      </c>
      <c r="E16" s="305">
        <v>5.2499999999999998E-2</v>
      </c>
      <c r="F16" s="304">
        <f t="shared" si="4"/>
        <v>40.950000000000003</v>
      </c>
      <c r="G16" s="305"/>
      <c r="H16" s="326">
        <f t="shared" si="0"/>
        <v>0</v>
      </c>
      <c r="K16" s="299" t="s">
        <v>121</v>
      </c>
      <c r="L16" s="301"/>
      <c r="M16" s="301"/>
      <c r="N16" s="302">
        <f t="shared" si="1"/>
        <v>1152.8</v>
      </c>
      <c r="O16" s="305">
        <v>5.2499999999999998E-2</v>
      </c>
      <c r="P16" s="304">
        <f t="shared" si="5"/>
        <v>60.52</v>
      </c>
      <c r="Q16" s="305"/>
      <c r="R16" s="326">
        <f t="shared" si="2"/>
        <v>0</v>
      </c>
    </row>
    <row r="17" spans="1:18" x14ac:dyDescent="0.25">
      <c r="A17" s="299" t="s">
        <v>122</v>
      </c>
      <c r="B17" s="301"/>
      <c r="C17" s="301"/>
      <c r="D17" s="302">
        <f t="shared" si="3"/>
        <v>780</v>
      </c>
      <c r="E17" s="437">
        <v>8.9999999999999993E-3</v>
      </c>
      <c r="F17" s="304">
        <f t="shared" si="4"/>
        <v>7.02</v>
      </c>
      <c r="G17" s="305"/>
      <c r="H17" s="326">
        <f t="shared" si="0"/>
        <v>0</v>
      </c>
      <c r="K17" s="299" t="s">
        <v>122</v>
      </c>
      <c r="L17" s="301"/>
      <c r="M17" s="301"/>
      <c r="N17" s="302">
        <f t="shared" si="1"/>
        <v>1152.8</v>
      </c>
      <c r="O17" s="437">
        <v>8.9999999999999993E-3</v>
      </c>
      <c r="P17" s="304">
        <f t="shared" si="5"/>
        <v>10.38</v>
      </c>
      <c r="Q17" s="305"/>
      <c r="R17" s="326">
        <f t="shared" si="2"/>
        <v>0</v>
      </c>
    </row>
    <row r="18" spans="1:18" x14ac:dyDescent="0.25">
      <c r="A18" s="299" t="s">
        <v>123</v>
      </c>
      <c r="B18" s="301"/>
      <c r="C18" s="301"/>
      <c r="D18" s="302">
        <f t="shared" si="3"/>
        <v>780</v>
      </c>
      <c r="E18" s="305">
        <v>1E-3</v>
      </c>
      <c r="F18" s="304">
        <f t="shared" si="4"/>
        <v>0.78</v>
      </c>
      <c r="G18" s="305"/>
      <c r="H18" s="326">
        <f t="shared" si="0"/>
        <v>0</v>
      </c>
      <c r="K18" s="299" t="s">
        <v>123</v>
      </c>
      <c r="L18" s="301"/>
      <c r="M18" s="301"/>
      <c r="N18" s="302">
        <f t="shared" si="1"/>
        <v>1152.8</v>
      </c>
      <c r="O18" s="439">
        <v>1E-3</v>
      </c>
      <c r="P18" s="304">
        <f t="shared" si="5"/>
        <v>1.1499999999999999</v>
      </c>
      <c r="Q18" s="305"/>
      <c r="R18" s="326">
        <f t="shared" si="2"/>
        <v>0</v>
      </c>
    </row>
    <row r="19" spans="1:18" x14ac:dyDescent="0.25">
      <c r="A19" s="299" t="s">
        <v>124</v>
      </c>
      <c r="B19" s="300"/>
      <c r="C19" s="301"/>
      <c r="D19" s="302">
        <f t="shared" si="3"/>
        <v>780</v>
      </c>
      <c r="E19" s="305">
        <v>1.4200000000000001E-2</v>
      </c>
      <c r="F19" s="304">
        <f t="shared" si="4"/>
        <v>11.08</v>
      </c>
      <c r="G19" s="305">
        <v>1.15E-2</v>
      </c>
      <c r="H19" s="326">
        <f t="shared" si="0"/>
        <v>8.9700000000000006</v>
      </c>
      <c r="K19" s="299" t="s">
        <v>124</v>
      </c>
      <c r="L19" s="300"/>
      <c r="M19" s="301"/>
      <c r="N19" s="302">
        <f t="shared" si="1"/>
        <v>1152.8</v>
      </c>
      <c r="O19" s="305">
        <v>1.4200000000000001E-2</v>
      </c>
      <c r="P19" s="304">
        <f t="shared" si="5"/>
        <v>16.37</v>
      </c>
      <c r="Q19" s="305">
        <v>1.15E-2</v>
      </c>
      <c r="R19" s="326">
        <f t="shared" si="2"/>
        <v>13.26</v>
      </c>
    </row>
    <row r="20" spans="1:18" x14ac:dyDescent="0.25">
      <c r="A20" s="299" t="s">
        <v>125</v>
      </c>
      <c r="B20" s="301"/>
      <c r="C20" s="301"/>
      <c r="D20" s="302">
        <f t="shared" si="3"/>
        <v>780</v>
      </c>
      <c r="E20" s="305">
        <v>5.4999999999999997E-3</v>
      </c>
      <c r="F20" s="304">
        <f t="shared" si="4"/>
        <v>4.29</v>
      </c>
      <c r="G20" s="305"/>
      <c r="H20" s="326"/>
      <c r="K20" s="299" t="s">
        <v>125</v>
      </c>
      <c r="L20" s="301"/>
      <c r="M20" s="301"/>
      <c r="N20" s="302">
        <f t="shared" si="1"/>
        <v>1152.8</v>
      </c>
      <c r="O20" s="305">
        <v>5.4999999999999997E-3</v>
      </c>
      <c r="P20" s="304">
        <f t="shared" si="5"/>
        <v>6.34</v>
      </c>
      <c r="Q20" s="305"/>
      <c r="R20" s="326"/>
    </row>
    <row r="21" spans="1:18" x14ac:dyDescent="0.25">
      <c r="A21" s="299" t="s">
        <v>126</v>
      </c>
      <c r="B21" s="301"/>
      <c r="C21" s="301"/>
      <c r="D21" s="302">
        <f t="shared" si="3"/>
        <v>780</v>
      </c>
      <c r="E21" s="305">
        <v>1.6000000000000001E-4</v>
      </c>
      <c r="F21" s="304">
        <f t="shared" si="4"/>
        <v>0.12</v>
      </c>
      <c r="G21" s="305"/>
      <c r="H21" s="326"/>
      <c r="K21" s="299" t="s">
        <v>126</v>
      </c>
      <c r="L21" s="301"/>
      <c r="M21" s="301"/>
      <c r="N21" s="302">
        <f t="shared" si="1"/>
        <v>1152.8</v>
      </c>
      <c r="O21" s="305">
        <v>1.6000000000000001E-4</v>
      </c>
      <c r="P21" s="304">
        <f t="shared" si="5"/>
        <v>0.18</v>
      </c>
      <c r="Q21" s="305"/>
      <c r="R21" s="326"/>
    </row>
    <row r="22" spans="1:18" x14ac:dyDescent="0.25">
      <c r="A22" s="299" t="s">
        <v>127</v>
      </c>
      <c r="B22" s="301"/>
      <c r="C22" s="301"/>
      <c r="D22" s="302">
        <f t="shared" si="3"/>
        <v>780</v>
      </c>
      <c r="E22" s="305">
        <v>3.0000000000000001E-3</v>
      </c>
      <c r="F22" s="304">
        <f t="shared" si="4"/>
        <v>2.34</v>
      </c>
      <c r="G22" s="303"/>
      <c r="H22" s="326"/>
      <c r="K22" s="299" t="s">
        <v>127</v>
      </c>
      <c r="L22" s="301"/>
      <c r="M22" s="301"/>
      <c r="N22" s="302">
        <f t="shared" si="1"/>
        <v>1152.8</v>
      </c>
      <c r="O22" s="305">
        <v>3.0000000000000001E-3</v>
      </c>
      <c r="P22" s="304">
        <f t="shared" si="5"/>
        <v>3.46</v>
      </c>
      <c r="Q22" s="303"/>
      <c r="R22" s="326"/>
    </row>
    <row r="23" spans="1:18" ht="15.75" thickBot="1" x14ac:dyDescent="0.3">
      <c r="A23" s="312" t="s">
        <v>128</v>
      </c>
      <c r="B23" s="313"/>
      <c r="C23" s="314"/>
      <c r="D23" s="315">
        <f t="shared" si="3"/>
        <v>780</v>
      </c>
      <c r="E23" s="316"/>
      <c r="F23" s="317">
        <f>(SUM(F9:F22))</f>
        <v>327.96</v>
      </c>
      <c r="G23" s="316"/>
      <c r="H23" s="328">
        <f>SUM(H6:H19)</f>
        <v>171.52</v>
      </c>
      <c r="K23" s="312" t="s">
        <v>128</v>
      </c>
      <c r="L23" s="313"/>
      <c r="M23" s="314"/>
      <c r="N23" s="315">
        <f t="shared" si="1"/>
        <v>1152.8</v>
      </c>
      <c r="O23" s="316"/>
      <c r="P23" s="317">
        <f>(SUM(P9:P22))</f>
        <v>484.69</v>
      </c>
      <c r="Q23" s="316"/>
      <c r="R23" s="328">
        <f>SUM(R6:R19)</f>
        <v>253.49</v>
      </c>
    </row>
    <row r="25" spans="1:18" x14ac:dyDescent="0.25">
      <c r="A25" s="440" t="s">
        <v>136</v>
      </c>
      <c r="E25" s="441">
        <f>SUM(E9:E11,E16:E18)</f>
        <v>0.29699999999999999</v>
      </c>
      <c r="G25" s="442">
        <f>SUM(G9:G11)</f>
        <v>7.2999999999999995E-2</v>
      </c>
      <c r="K25" s="440" t="s">
        <v>136</v>
      </c>
      <c r="O25" s="441">
        <f>SUM(O9:O11,O16:O18)</f>
        <v>0.29699999999999999</v>
      </c>
      <c r="Q25" s="442">
        <f>SUM(Q9:Q11)</f>
        <v>7.2999999999999995E-2</v>
      </c>
    </row>
    <row r="26" spans="1:18" x14ac:dyDescent="0.25">
      <c r="A26" s="440" t="s">
        <v>137</v>
      </c>
      <c r="E26" s="441">
        <f>SUM(E12:E15,E19:E22)</f>
        <v>0.12346</v>
      </c>
      <c r="G26" s="442">
        <f>SUM(G12:G19)</f>
        <v>0.16470000000000001</v>
      </c>
      <c r="K26" s="440" t="s">
        <v>137</v>
      </c>
      <c r="O26" s="441">
        <f>SUM(O12:O15,O19:O22)</f>
        <v>0.12346</v>
      </c>
      <c r="Q26" s="442">
        <f>SUM(Q12:Q19)</f>
        <v>0.16470000000000001</v>
      </c>
    </row>
    <row r="27" spans="1:18" ht="15.75" thickBot="1" x14ac:dyDescent="0.3">
      <c r="G27" s="441">
        <f>SUM(G25:G26)</f>
        <v>0.23769999999999999</v>
      </c>
      <c r="Q27" s="441">
        <f>SUM(Q25:Q26)</f>
        <v>0.23769999999999999</v>
      </c>
    </row>
    <row r="28" spans="1:18" ht="15.75" thickBot="1" x14ac:dyDescent="0.3">
      <c r="D28" s="443" t="s">
        <v>138</v>
      </c>
      <c r="E28" s="444">
        <f>E25+E26</f>
        <v>0.42049999999999998</v>
      </c>
      <c r="G28" s="445">
        <f>SUM(G6:G8)*98.25%+G27</f>
        <v>0.33300000000000002</v>
      </c>
      <c r="N28" s="443" t="s">
        <v>138</v>
      </c>
      <c r="O28" s="444">
        <f>O25+O26</f>
        <v>0.42049999999999998</v>
      </c>
      <c r="Q28" s="445">
        <f>SUM(Q6:Q8)*98.25%+Q27</f>
        <v>0.33300000000000002</v>
      </c>
    </row>
    <row r="35" spans="2:8" x14ac:dyDescent="0.25">
      <c r="B35" s="299"/>
      <c r="C35" s="300"/>
      <c r="D35" s="301"/>
      <c r="E35" s="302"/>
      <c r="F35" s="437"/>
      <c r="G35" s="304"/>
      <c r="H35" s="305"/>
    </row>
  </sheetData>
  <sheetProtection password="E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Feuil2</vt:lpstr>
      <vt:lpstr>1</vt:lpstr>
      <vt:lpstr>SIMULATEUR FOYER MONOPARENTAL</vt:lpstr>
      <vt:lpstr>Feuil3</vt:lpstr>
      <vt:lpstr> BS GED</vt:lpstr>
      <vt:lpstr>BS AM</vt:lpstr>
      <vt:lpstr>Feuil1</vt:lpstr>
    </vt:vector>
  </TitlesOfParts>
  <Company>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dc:creator>
  <cp:lastModifiedBy>pmolitor</cp:lastModifiedBy>
  <cp:lastPrinted>2014-12-30T11:32:18Z</cp:lastPrinted>
  <dcterms:created xsi:type="dcterms:W3CDTF">2005-02-10T13:00:10Z</dcterms:created>
  <dcterms:modified xsi:type="dcterms:W3CDTF">2021-11-02T09:45:21Z</dcterms:modified>
</cp:coreProperties>
</file>