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mc:AlternateContent xmlns:mc="http://schemas.openxmlformats.org/markup-compatibility/2006">
    <mc:Choice Requires="x15">
      <x15ac:absPath xmlns:x15ac="http://schemas.microsoft.com/office/spreadsheetml/2010/11/ac" url="C:\Users\mdeaguiar\Desktop\"/>
    </mc:Choice>
  </mc:AlternateContent>
  <xr:revisionPtr revIDLastSave="0" documentId="13_ncr:1_{1E3A7E63-D008-48E4-B41B-16ACD8111F54}" xr6:coauthVersionLast="47" xr6:coauthVersionMax="47" xr10:uidLastSave="{00000000-0000-0000-0000-000000000000}"/>
  <bookViews>
    <workbookView showHorizontalScroll="0" xWindow="-110" yWindow="-110" windowWidth="19420" windowHeight="10300" tabRatio="605" firstSheet="2" activeTab="2" xr2:uid="{00000000-000D-0000-FFFF-FFFF00000000}"/>
  </bookViews>
  <sheets>
    <sheet name="Feuil2" sheetId="1" state="hidden" r:id="rId1"/>
    <sheet name="1" sheetId="3" state="hidden" r:id="rId2"/>
    <sheet name="Simulateur" sheetId="8" r:id="rId3"/>
    <sheet name="Feuil1" sheetId="15" state="hidden" r:id="rId4"/>
    <sheet name="Feuil3" sheetId="9" state="hidden" r:id="rId5"/>
    <sheet name=" BS GED" sheetId="10" state="hidden" r:id="rId6"/>
    <sheet name="BS AM" sheetId="14" state="hidden" r:id="rId7"/>
  </sheet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 i="1" l="1"/>
  <c r="G27" i="14"/>
  <c r="G28" i="14" s="1"/>
  <c r="F20" i="14"/>
  <c r="D20" i="14"/>
  <c r="G26" i="10"/>
  <c r="G25" i="10"/>
  <c r="E27" i="10"/>
  <c r="E26" i="10"/>
  <c r="G27" i="10" l="1"/>
  <c r="G28" i="10" s="1"/>
  <c r="B3" i="10" s="1"/>
  <c r="C1" i="14"/>
  <c r="D14" i="14" s="1"/>
  <c r="I14" i="14" s="1"/>
  <c r="G18" i="8"/>
  <c r="C1" i="10"/>
  <c r="D13" i="10" s="1"/>
  <c r="I13" i="10" s="1"/>
  <c r="D18" i="8"/>
  <c r="B1" i="10" s="1"/>
  <c r="D17" i="10" s="1"/>
  <c r="H18" i="8"/>
  <c r="L1" i="14" s="1"/>
  <c r="N20" i="14" s="1"/>
  <c r="P20" i="14" s="1"/>
  <c r="O26" i="14"/>
  <c r="Q27" i="14"/>
  <c r="Q28" i="14" s="1"/>
  <c r="Q29" i="14" s="1"/>
  <c r="O27" i="14"/>
  <c r="Q26" i="14"/>
  <c r="G26" i="14"/>
  <c r="E27" i="14"/>
  <c r="E26" i="14"/>
  <c r="B1" i="14"/>
  <c r="D17" i="14" s="1"/>
  <c r="J15" i="8"/>
  <c r="K28" i="9" s="1"/>
  <c r="E30" i="3"/>
  <c r="E18" i="3"/>
  <c r="E19" i="3" s="1"/>
  <c r="K31" i="9"/>
  <c r="K30" i="9"/>
  <c r="K29" i="9"/>
  <c r="K15" i="3"/>
  <c r="E34" i="3"/>
  <c r="E35" i="3" s="1"/>
  <c r="N21" i="3"/>
  <c r="N23" i="3" s="1"/>
  <c r="N22" i="3"/>
  <c r="I38" i="3"/>
  <c r="I37" i="3"/>
  <c r="F73" i="3"/>
  <c r="E73" i="3"/>
  <c r="H20" i="3"/>
  <c r="F17" i="3"/>
  <c r="F16" i="3"/>
  <c r="F56" i="3" s="1"/>
  <c r="E4" i="3"/>
  <c r="F14" i="3"/>
  <c r="F19" i="3" s="1"/>
  <c r="E7" i="3"/>
  <c r="E8" i="3"/>
  <c r="E9" i="3"/>
  <c r="F76" i="3" s="1"/>
  <c r="E10" i="3"/>
  <c r="F65" i="3" s="1"/>
  <c r="E6" i="3"/>
  <c r="E5" i="3"/>
  <c r="E3" i="3"/>
  <c r="F51" i="3" s="1"/>
  <c r="I20" i="3"/>
  <c r="E34" i="9"/>
  <c r="F34" i="9"/>
  <c r="H34" i="9"/>
  <c r="I34" i="9"/>
  <c r="K34" i="9"/>
  <c r="E20" i="9"/>
  <c r="F20" i="9"/>
  <c r="F21" i="9"/>
  <c r="F22" i="9"/>
  <c r="E21" i="9"/>
  <c r="E22" i="9"/>
  <c r="E9" i="9"/>
  <c r="F9" i="9"/>
  <c r="H9" i="9"/>
  <c r="I9" i="9"/>
  <c r="E10" i="9"/>
  <c r="F10" i="9"/>
  <c r="H10" i="9"/>
  <c r="I10" i="9"/>
  <c r="E11" i="9"/>
  <c r="F11" i="9"/>
  <c r="H11" i="9"/>
  <c r="I11" i="9"/>
  <c r="E12" i="9"/>
  <c r="F12" i="9"/>
  <c r="H12" i="9"/>
  <c r="I12" i="9"/>
  <c r="E13" i="9"/>
  <c r="F13" i="9"/>
  <c r="H13" i="9"/>
  <c r="I13" i="9"/>
  <c r="E14" i="9"/>
  <c r="F14" i="9"/>
  <c r="H14" i="9"/>
  <c r="I14" i="9"/>
  <c r="E15" i="9"/>
  <c r="F15" i="9"/>
  <c r="H15" i="9"/>
  <c r="I15" i="9"/>
  <c r="E16" i="9"/>
  <c r="F16" i="9"/>
  <c r="H16" i="9"/>
  <c r="I16" i="9"/>
  <c r="E18" i="8"/>
  <c r="I15" i="3"/>
  <c r="I25" i="3" s="1"/>
  <c r="H15" i="3"/>
  <c r="H21" i="3" s="1"/>
  <c r="J81" i="3"/>
  <c r="I6" i="9"/>
  <c r="I2" i="9"/>
  <c r="I5" i="9"/>
  <c r="F26" i="9"/>
  <c r="H2" i="9"/>
  <c r="E26" i="9"/>
  <c r="F17" i="9"/>
  <c r="E52" i="8" s="1"/>
  <c r="F25" i="9"/>
  <c r="D9" i="14"/>
  <c r="F9" i="14" s="1"/>
  <c r="D16" i="14"/>
  <c r="F16" i="14" s="1"/>
  <c r="I76" i="3"/>
  <c r="I19" i="3"/>
  <c r="I24" i="3" s="1"/>
  <c r="I21" i="3"/>
  <c r="G29" i="14" l="1"/>
  <c r="H17" i="10"/>
  <c r="F17" i="10"/>
  <c r="F23" i="9"/>
  <c r="O29" i="14"/>
  <c r="K76" i="3"/>
  <c r="E76" i="3"/>
  <c r="F66" i="3"/>
  <c r="H76" i="3"/>
  <c r="D10" i="14"/>
  <c r="I49" i="3"/>
  <c r="H9" i="14"/>
  <c r="E23" i="9"/>
  <c r="E25" i="9" s="1"/>
  <c r="E58" i="8"/>
  <c r="E60" i="8" s="1"/>
  <c r="F35" i="9" s="1"/>
  <c r="E29" i="14"/>
  <c r="E28" i="10"/>
  <c r="B2" i="10" s="1"/>
  <c r="I7" i="9"/>
  <c r="N21" i="14"/>
  <c r="P21" i="14" s="1"/>
  <c r="N24" i="14"/>
  <c r="N11" i="14"/>
  <c r="P11" i="14" s="1"/>
  <c r="N19" i="14"/>
  <c r="N13" i="14"/>
  <c r="P13" i="14" s="1"/>
  <c r="N6" i="14"/>
  <c r="R6" i="14" s="1"/>
  <c r="J57" i="8"/>
  <c r="J58" i="8" s="1"/>
  <c r="J60" i="8" s="1"/>
  <c r="K35" i="9" s="1"/>
  <c r="J66" i="8" s="1"/>
  <c r="H25" i="3"/>
  <c r="H26" i="3" s="1"/>
  <c r="H47" i="3" s="1"/>
  <c r="D87" i="3" s="1"/>
  <c r="E65" i="3"/>
  <c r="E66" i="3" s="1"/>
  <c r="I52" i="3"/>
  <c r="H49" i="3"/>
  <c r="H54" i="3"/>
  <c r="F58" i="3"/>
  <c r="I28" i="3"/>
  <c r="I31" i="3" s="1"/>
  <c r="I53" i="3"/>
  <c r="H19" i="3"/>
  <c r="F48" i="3"/>
  <c r="E59" i="3"/>
  <c r="F61" i="3"/>
  <c r="F64" i="3"/>
  <c r="M36" i="3"/>
  <c r="E26" i="3"/>
  <c r="E47" i="3" s="1"/>
  <c r="E25" i="3"/>
  <c r="E24" i="3"/>
  <c r="E28" i="3" s="1"/>
  <c r="H17" i="14"/>
  <c r="F17" i="14"/>
  <c r="H16" i="14"/>
  <c r="F59" i="3"/>
  <c r="I26" i="3"/>
  <c r="D21" i="14"/>
  <c r="F21" i="14" s="1"/>
  <c r="K67" i="3"/>
  <c r="I48" i="3"/>
  <c r="I54" i="3"/>
  <c r="H51" i="3"/>
  <c r="E48" i="3"/>
  <c r="H53" i="3"/>
  <c r="F53" i="3"/>
  <c r="I55" i="3"/>
  <c r="I51" i="3"/>
  <c r="H55" i="3"/>
  <c r="K70" i="3"/>
  <c r="D19" i="14"/>
  <c r="D7" i="14"/>
  <c r="H7" i="14" s="1"/>
  <c r="D22" i="14"/>
  <c r="F22" i="14" s="1"/>
  <c r="D11" i="14"/>
  <c r="D6" i="14"/>
  <c r="H6" i="14" s="1"/>
  <c r="N12" i="14"/>
  <c r="N22" i="14"/>
  <c r="P22" i="14" s="1"/>
  <c r="N17" i="14"/>
  <c r="N9" i="14"/>
  <c r="E52" i="3"/>
  <c r="H52" i="3"/>
  <c r="D8" i="14"/>
  <c r="H8" i="14" s="1"/>
  <c r="H48" i="3"/>
  <c r="D18" i="14"/>
  <c r="F55" i="3"/>
  <c r="F54" i="3"/>
  <c r="E50" i="3"/>
  <c r="E53" i="3"/>
  <c r="F49" i="3"/>
  <c r="I50" i="3"/>
  <c r="K69" i="3"/>
  <c r="E61" i="3"/>
  <c r="N15" i="14"/>
  <c r="N10" i="14"/>
  <c r="N8" i="14"/>
  <c r="R8" i="14" s="1"/>
  <c r="N7" i="14"/>
  <c r="R7" i="14" s="1"/>
  <c r="N16" i="14"/>
  <c r="K68" i="3"/>
  <c r="D24" i="14"/>
  <c r="D13" i="14"/>
  <c r="D23" i="14"/>
  <c r="F23" i="14" s="1"/>
  <c r="F50" i="3"/>
  <c r="E54" i="3"/>
  <c r="E55" i="3"/>
  <c r="F52" i="3"/>
  <c r="E49" i="3"/>
  <c r="H50" i="3"/>
  <c r="E60" i="3"/>
  <c r="D15" i="14"/>
  <c r="D12" i="14"/>
  <c r="N18" i="14"/>
  <c r="N23" i="14"/>
  <c r="P23" i="14" s="1"/>
  <c r="E51" i="3"/>
  <c r="F60" i="3"/>
  <c r="E39" i="3"/>
  <c r="D8" i="10"/>
  <c r="D7" i="10"/>
  <c r="D5" i="10"/>
  <c r="H5" i="10" s="1"/>
  <c r="D10" i="10"/>
  <c r="D12" i="10"/>
  <c r="D22" i="10"/>
  <c r="D21" i="10"/>
  <c r="F21" i="10" s="1"/>
  <c r="D19" i="10"/>
  <c r="F19" i="10" s="1"/>
  <c r="D11" i="10"/>
  <c r="D20" i="10"/>
  <c r="F20" i="10" s="1"/>
  <c r="D6" i="10"/>
  <c r="H6" i="10" s="1"/>
  <c r="D4" i="10"/>
  <c r="H4" i="10" s="1"/>
  <c r="D14" i="10"/>
  <c r="D15" i="10"/>
  <c r="D9" i="10"/>
  <c r="D18" i="10"/>
  <c r="D16" i="10"/>
  <c r="E62" i="3" l="1"/>
  <c r="E64" i="3" s="1"/>
  <c r="H10" i="14"/>
  <c r="I10" i="14" s="1"/>
  <c r="H14" i="14" s="1"/>
  <c r="F10" i="14"/>
  <c r="F72" i="3"/>
  <c r="F74" i="3" s="1"/>
  <c r="F77" i="3" s="1"/>
  <c r="F78" i="3" s="1"/>
  <c r="F79" i="3" s="1"/>
  <c r="R19" i="14"/>
  <c r="P19" i="14"/>
  <c r="R11" i="14"/>
  <c r="I57" i="3"/>
  <c r="I58" i="3" s="1"/>
  <c r="H24" i="3"/>
  <c r="H28" i="3"/>
  <c r="H31" i="3" s="1"/>
  <c r="H32" i="3" s="1"/>
  <c r="F12" i="14"/>
  <c r="H12" i="14"/>
  <c r="R10" i="14"/>
  <c r="P10" i="14"/>
  <c r="E58" i="3"/>
  <c r="E31" i="3"/>
  <c r="E32" i="3" s="1"/>
  <c r="F36" i="9"/>
  <c r="F37" i="9" s="1"/>
  <c r="E66" i="8"/>
  <c r="E67" i="8" s="1"/>
  <c r="E68" i="8" s="1"/>
  <c r="P18" i="14"/>
  <c r="R18" i="14"/>
  <c r="F62" i="3"/>
  <c r="I32" i="3"/>
  <c r="F13" i="14"/>
  <c r="H13" i="14"/>
  <c r="F18" i="14"/>
  <c r="H18" i="14"/>
  <c r="R17" i="14"/>
  <c r="P17" i="14"/>
  <c r="F11" i="14"/>
  <c r="H11" i="14"/>
  <c r="I47" i="3"/>
  <c r="D86" i="3" s="1"/>
  <c r="K71" i="3"/>
  <c r="K72" i="3" s="1"/>
  <c r="K74" i="3" s="1"/>
  <c r="R12" i="14"/>
  <c r="P12" i="14"/>
  <c r="F15" i="14"/>
  <c r="H15" i="14"/>
  <c r="R16" i="14"/>
  <c r="P16" i="14"/>
  <c r="R15" i="14"/>
  <c r="P15" i="14"/>
  <c r="R9" i="14"/>
  <c r="P9" i="14"/>
  <c r="F19" i="14"/>
  <c r="H19" i="14"/>
  <c r="M37" i="3"/>
  <c r="M38" i="3" s="1"/>
  <c r="N31" i="3"/>
  <c r="N32" i="3" s="1"/>
  <c r="J67" i="8"/>
  <c r="J68" i="8" s="1"/>
  <c r="F15" i="10"/>
  <c r="H15" i="10"/>
  <c r="H7" i="10"/>
  <c r="F7" i="10"/>
  <c r="H9" i="10"/>
  <c r="F9" i="10"/>
  <c r="F18" i="10"/>
  <c r="H18" i="10"/>
  <c r="H10" i="10"/>
  <c r="F10" i="10"/>
  <c r="H16" i="10"/>
  <c r="F16" i="10"/>
  <c r="H14" i="10"/>
  <c r="F14" i="10"/>
  <c r="F11" i="10"/>
  <c r="H11" i="10"/>
  <c r="F12" i="10"/>
  <c r="H12" i="10"/>
  <c r="H8" i="10"/>
  <c r="F8" i="10"/>
  <c r="H57" i="3" l="1"/>
  <c r="H58" i="3" s="1"/>
  <c r="F80" i="3"/>
  <c r="F81" i="3" s="1"/>
  <c r="F82" i="3" s="1"/>
  <c r="P24" i="14"/>
  <c r="L6" i="9" s="1"/>
  <c r="H24" i="14"/>
  <c r="H5" i="9" s="1"/>
  <c r="G27" i="8" s="1"/>
  <c r="H18" i="9" s="1"/>
  <c r="G52" i="8" s="1"/>
  <c r="R24" i="14"/>
  <c r="L5" i="9" s="1"/>
  <c r="K77" i="3"/>
  <c r="K80" i="3" s="1"/>
  <c r="F24" i="14"/>
  <c r="H6" i="9" s="1"/>
  <c r="I72" i="3"/>
  <c r="I74" i="3" s="1"/>
  <c r="I9" i="10"/>
  <c r="H13" i="10" s="1"/>
  <c r="H22" i="10" s="1"/>
  <c r="E5" i="9" s="1"/>
  <c r="D27" i="8" s="1"/>
  <c r="F22" i="10"/>
  <c r="H72" i="3" l="1"/>
  <c r="H74" i="3" s="1"/>
  <c r="H75" i="3" s="1"/>
  <c r="H77" i="3" s="1"/>
  <c r="H80" i="3" s="1"/>
  <c r="L7" i="9"/>
  <c r="H33" i="8" s="1"/>
  <c r="C72" i="8" s="1"/>
  <c r="H27" i="8"/>
  <c r="H30" i="8" s="1"/>
  <c r="H7" i="9"/>
  <c r="G33" i="8" s="1"/>
  <c r="C73" i="8" s="1"/>
  <c r="G30" i="8"/>
  <c r="I75" i="3"/>
  <c r="I77" i="3" s="1"/>
  <c r="I80" i="3" s="1"/>
  <c r="K81" i="3"/>
  <c r="K82" i="3" s="1"/>
  <c r="D30" i="8"/>
  <c r="D52" i="8"/>
  <c r="E6" i="9"/>
  <c r="E7" i="9"/>
  <c r="H31" i="8" l="1"/>
  <c r="I18" i="9"/>
  <c r="H52" i="8" s="1"/>
  <c r="G31" i="8"/>
  <c r="G58" i="8" s="1"/>
  <c r="G60" i="8" s="1"/>
  <c r="H33" i="9" s="1"/>
  <c r="H35" i="9" s="1"/>
  <c r="G66" i="8" s="1"/>
  <c r="G67" i="8" s="1"/>
  <c r="G68" i="8" s="1"/>
  <c r="H81" i="3"/>
  <c r="H82" i="3" s="1"/>
  <c r="I81" i="3"/>
  <c r="I82" i="3" s="1"/>
  <c r="D33" i="8"/>
  <c r="D31" i="8"/>
  <c r="H58" i="8" l="1"/>
  <c r="H60" i="8" s="1"/>
  <c r="I33" i="9" s="1"/>
  <c r="I35" i="9" s="1"/>
  <c r="H66" i="8" s="1"/>
  <c r="H67" i="8" s="1"/>
  <c r="H68" i="8" s="1"/>
  <c r="E36" i="3"/>
  <c r="E37" i="3" s="1"/>
  <c r="D84" i="3" s="1"/>
  <c r="E72" i="3" s="1"/>
  <c r="E74" i="3" s="1"/>
  <c r="E77" i="3" s="1"/>
  <c r="F23" i="10" l="1"/>
  <c r="F24" i="10" s="1"/>
  <c r="C69" i="8"/>
  <c r="D58" i="8" s="1"/>
  <c r="D60" i="8" s="1"/>
  <c r="E35" i="9" s="1"/>
  <c r="E36" i="9" s="1"/>
  <c r="E37" i="9" s="1"/>
  <c r="E78" i="3"/>
  <c r="E79" i="3" s="1"/>
  <c r="E80" i="3"/>
  <c r="E81" i="3" s="1"/>
  <c r="E82" i="3" s="1"/>
  <c r="C44" i="8" l="1"/>
  <c r="D66" i="8"/>
  <c r="D67" i="8" s="1"/>
  <c r="D6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nmainge</author>
    <author>PARIS SERVICES FAMILLES</author>
  </authors>
  <commentList>
    <comment ref="D9" authorId="0" shapeId="0" xr:uid="{00000000-0006-0000-0000-000001000000}">
      <text>
        <r>
          <rPr>
            <b/>
            <sz val="9"/>
            <color indexed="81"/>
            <rFont val="Tahoma"/>
            <family val="2"/>
          </rPr>
          <t>nmainge:</t>
        </r>
        <r>
          <rPr>
            <sz val="9"/>
            <color indexed="81"/>
            <rFont val="Tahoma"/>
            <family val="2"/>
          </rPr>
          <t xml:space="preserve">
Infos site du service public</t>
        </r>
      </text>
    </comment>
    <comment ref="E30" authorId="1" shapeId="0" xr:uid="{00000000-0006-0000-0000-000002000000}">
      <text>
        <r>
          <rPr>
            <sz val="10"/>
            <color indexed="81"/>
            <rFont val="Tahoma"/>
            <family val="2"/>
          </rPr>
          <t xml:space="preserve">Tarif sur 11 mois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PSF</author>
    <author>DH</author>
  </authors>
  <commentList>
    <comment ref="E7" authorId="0" shapeId="0" xr:uid="{00000000-0006-0000-01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shapeId="0" xr:uid="{00000000-0006-0000-0100-000002000000}">
      <text>
        <r>
          <rPr>
            <b/>
            <sz val="8"/>
            <color indexed="81"/>
            <rFont val="Tahoma"/>
            <family val="2"/>
          </rPr>
          <t>Tarif horaire moyen d'une structure prestataire</t>
        </r>
        <r>
          <rPr>
            <sz val="8"/>
            <color indexed="81"/>
            <rFont val="Tahoma"/>
            <family val="2"/>
          </rPr>
          <t xml:space="preserve">
</t>
        </r>
      </text>
    </comment>
    <comment ref="H14" authorId="1" shapeId="0" xr:uid="{00000000-0006-0000-0100-000003000000}">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shapeId="0" xr:uid="{00000000-0006-0000-0100-000004000000}">
      <text>
        <r>
          <rPr>
            <b/>
            <sz val="8"/>
            <color indexed="81"/>
            <rFont val="Tahoma"/>
            <family val="2"/>
          </rPr>
          <t>Tarif maximum à appliquerafin d'obtenir le versement de la CAF : 47,65 euros</t>
        </r>
        <r>
          <rPr>
            <sz val="8"/>
            <color indexed="81"/>
            <rFont val="Tahoma"/>
            <family val="2"/>
          </rPr>
          <t xml:space="preserve">
</t>
        </r>
      </text>
    </comment>
    <comment ref="E16" authorId="1" shapeId="0" xr:uid="{00000000-0006-0000-0100-000005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shapeId="0" xr:uid="{00000000-0006-0000-0100-000006000000}">
      <text>
        <r>
          <rPr>
            <b/>
            <sz val="8"/>
            <color indexed="81"/>
            <rFont val="Tahoma"/>
            <family val="2"/>
          </rPr>
          <t>Au maximum 8 heures par semaine soit 34,67 par mois</t>
        </r>
        <r>
          <rPr>
            <sz val="8"/>
            <color indexed="81"/>
            <rFont val="Tahoma"/>
            <family val="2"/>
          </rPr>
          <t xml:space="preserve">
</t>
        </r>
      </text>
    </comment>
    <comment ref="I20" authorId="1" shapeId="0" xr:uid="{00000000-0006-0000-0100-000007000000}">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shapeId="0" xr:uid="{00000000-0006-0000-0100-000008000000}">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shapeId="0" xr:uid="{00000000-0006-0000-0100-000009000000}">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shapeId="0" xr:uid="{00000000-0006-0000-0100-00000A000000}">
      <text>
        <r>
          <rPr>
            <b/>
            <sz val="8"/>
            <color indexed="81"/>
            <rFont val="Tahoma"/>
            <family val="2"/>
          </rPr>
          <t>frais mensuels</t>
        </r>
      </text>
    </comment>
    <comment ref="F73" authorId="1" shapeId="0" xr:uid="{00000000-0006-0000-0100-00000B000000}">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PSF</author>
    <author>DH</author>
    <author xml:space="preserve">  Claire Richier</author>
  </authors>
  <commentList>
    <comment ref="D6" authorId="0" shapeId="0" xr:uid="{00000000-0006-0000-02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shapeId="0" xr:uid="{00000000-0006-0000-0200-000002000000}">
      <text>
        <r>
          <rPr>
            <b/>
            <sz val="8"/>
            <color indexed="81"/>
            <rFont val="Tahoma"/>
            <family val="2"/>
          </rPr>
          <t xml:space="preserve">Salaire brut horaire minimum conventionnel Echelle 3 : 10,88€
</t>
        </r>
        <r>
          <rPr>
            <sz val="8"/>
            <color indexed="81"/>
            <rFont val="Tahoma"/>
            <family val="2"/>
          </rPr>
          <t xml:space="preserve">
</t>
        </r>
      </text>
    </comment>
    <comment ref="E12" authorId="1" shapeId="0" xr:uid="{00000000-0006-0000-0200-000003000000}">
      <text>
        <r>
          <rPr>
            <b/>
            <sz val="8"/>
            <color indexed="81"/>
            <rFont val="Tahoma"/>
            <family val="2"/>
          </rPr>
          <t>Tarif horaire moyen d'une structure prestataire</t>
        </r>
        <r>
          <rPr>
            <sz val="8"/>
            <color indexed="81"/>
            <rFont val="Tahoma"/>
            <family val="2"/>
          </rPr>
          <t xml:space="preserve">
</t>
        </r>
      </text>
    </comment>
    <comment ref="G12" authorId="1" shapeId="0" xr:uid="{00000000-0006-0000-0200-000004000000}">
      <text>
        <r>
          <rPr>
            <b/>
            <sz val="8"/>
            <color indexed="81"/>
            <rFont val="Tahoma"/>
            <family val="2"/>
          </rPr>
          <t>Salaire horaire brut minimal : 3,06€/h
Tarif journalier minimum pour 9 heures par jour : 27,45 €.
Voir avec le service social de la PMI (coordonnées dans les numéros utiles) les tarifs pratiqués dans votre arrondissement</t>
        </r>
      </text>
    </comment>
    <comment ref="H12" authorId="0" shapeId="0" xr:uid="{00000000-0006-0000-0200-000005000000}">
      <text>
        <r>
          <rPr>
            <b/>
            <sz val="8"/>
            <color indexed="81"/>
            <rFont val="Tahoma"/>
            <family val="2"/>
          </rPr>
          <t xml:space="preserve">Tarif maximum à appliquer pour obtenir le complément libre choix de mode de garde, l'allocation de la CAF : 54,25 euros 
</t>
        </r>
        <r>
          <rPr>
            <sz val="8"/>
            <color indexed="81"/>
            <rFont val="Tahoma"/>
            <family val="2"/>
          </rPr>
          <t xml:space="preserve">
</t>
        </r>
      </text>
    </comment>
    <comment ref="A14" authorId="2" shapeId="0" xr:uid="{00000000-0006-0000-0200-000006000000}">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shapeId="0" xr:uid="{00000000-0006-0000-0200-000007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shapeId="0" xr:uid="{00000000-0006-0000-0200-000008000000}">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shapeId="0" xr:uid="{00000000-0006-0000-0200-000009000000}">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shapeId="0" xr:uid="{00000000-0006-0000-0200-00000A000000}">
      <text>
        <r>
          <rPr>
            <sz val="8"/>
            <color indexed="81"/>
            <rFont val="Tahoma"/>
            <family val="2"/>
          </rPr>
          <t xml:space="preserve">Au maximum 8 heures par semaine soit 35 heures par mois
</t>
        </r>
      </text>
    </comment>
    <comment ref="G17" authorId="2" shapeId="0" xr:uid="{00000000-0006-0000-0200-00000B000000}">
      <text>
        <r>
          <rPr>
            <sz val="9"/>
            <color indexed="81"/>
            <rFont val="Tahoma"/>
            <family val="2"/>
          </rPr>
          <t>Le taux de majoration est librement fixé entre les parties. Toutefois ce taux ne peut être inférieur à 10%</t>
        </r>
      </text>
    </comment>
    <comment ref="G19" authorId="2" shapeId="0" xr:uid="{00000000-0006-0000-0200-00000C000000}">
      <text>
        <r>
          <rPr>
            <sz val="9"/>
            <color indexed="81"/>
            <rFont val="Tahoma"/>
            <family val="2"/>
          </rPr>
          <t>au minimum 3,48 €/journée de 9 heures</t>
        </r>
      </text>
    </comment>
    <comment ref="D29" authorId="1" shapeId="0" xr:uid="{00000000-0006-0000-0200-00000D000000}">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En cas de garde partagée, chaque famille prend en charge 50% du montant du titre de transport présenté.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shapeId="0" xr:uid="{00000000-0006-0000-0200-00000E000000}">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shapeId="0" xr:uid="{00000000-0006-0000-0200-00000F000000}">
      <text>
        <r>
          <rPr>
            <b/>
            <sz val="8"/>
            <color indexed="81"/>
            <rFont val="Tahoma"/>
            <family val="2"/>
          </rPr>
          <t>Frais mensuels</t>
        </r>
      </text>
    </comment>
    <comment ref="E59" authorId="1" shapeId="0" xr:uid="{00000000-0006-0000-0200-000010000000}">
      <text>
        <r>
          <rPr>
            <b/>
            <sz val="8"/>
            <color indexed="81"/>
            <rFont val="Tahoma"/>
            <family val="2"/>
          </rPr>
          <t>Adhésion annuelle</t>
        </r>
        <r>
          <rPr>
            <sz val="8"/>
            <color indexed="81"/>
            <rFont val="Tahoma"/>
            <family val="2"/>
          </rPr>
          <t xml:space="preserve">
</t>
        </r>
      </text>
    </comment>
    <comment ref="G60" authorId="2" shapeId="0" xr:uid="{00000000-0006-0000-0200-000011000000}">
      <text>
        <r>
          <rPr>
            <sz val="9"/>
            <color indexed="81"/>
            <rFont val="Tahoma"/>
            <family val="2"/>
          </rPr>
          <t>Les indemnités d'entretien sont incluses dans les dépenses ouvrant droit à crédit d'impôt, dans la limite de 2,99€/journée d'accueil</t>
        </r>
      </text>
    </comment>
    <comment ref="H60" authorId="2" shapeId="0" xr:uid="{00000000-0006-0000-0200-000012000000}">
      <text>
        <r>
          <rPr>
            <sz val="9"/>
            <color indexed="81"/>
            <rFont val="Tahoma"/>
            <family val="2"/>
          </rPr>
          <t>Les indemnités d'entretien sont incluses dans les dépenses ouvrant droit à crédit d'impôt, dans la limite de 2,99€/journée d'accueil</t>
        </r>
      </text>
    </comment>
  </commentList>
</comments>
</file>

<file path=xl/sharedStrings.xml><?xml version="1.0" encoding="utf-8"?>
<sst xmlns="http://schemas.openxmlformats.org/spreadsheetml/2006/main" count="231" uniqueCount="159">
  <si>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</si>
  <si>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</si>
  <si>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</si>
  <si>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</si>
  <si>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</si>
  <si>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</si>
  <si>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</si>
  <si>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</si>
  <si>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</si>
  <si>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</si>
  <si>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</si>
  <si>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</si>
  <si>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</si>
  <si>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</si>
  <si>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</si>
  <si>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</si>
  <si>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</si>
  <si>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</si>
  <si>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</si>
  <si>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</si>
  <si>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</si>
  <si>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</si>
  <si>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</si>
  <si>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</si>
  <si>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</si>
  <si>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</si>
  <si>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</si>
  <si>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</si>
  <si>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</si>
  <si>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</si>
  <si>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</si>
  <si>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</si>
  <si>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</si>
  <si>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</si>
  <si>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</si>
  <si>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</si>
  <si>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</si>
  <si>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</si>
  <si>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</si>
  <si>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</si>
  <si>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</si>
  <si>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</si>
  <si>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</si>
  <si>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</si>
  <si>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</si>
  <si>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</si>
  <si>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</si>
  <si>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</si>
  <si>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</si>
  <si>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</si>
  <si>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</si>
  <si>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</si>
  <si>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</si>
  <si>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</si>
  <si>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</si>
  <si>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</si>
  <si>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</si>
  <si>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</si>
  <si>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</si>
  <si>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</si>
  <si>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</si>
  <si>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</si>
  <si>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</si>
  <si>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</si>
  <si>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</si>
  <si>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</si>
  <si>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</si>
  <si>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</si>
  <si>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</si>
  <si>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</si>
  <si>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</si>
  <si>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</si>
  <si>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</si>
  <si>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</si>
  <si>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</si>
  <si>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</si>
  <si>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</si>
  <si>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</si>
  <si>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</si>
  <si>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</si>
  <si>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</si>
  <si>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</si>
  <si>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</si>
  <si>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</si>
  <si>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</si>
  <si>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</si>
  <si>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</si>
  <si>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</si>
  <si>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</si>
  <si>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</si>
  <si>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</si>
  <si>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</si>
  <si>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</si>
  <si>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</si>
  <si>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</si>
  <si>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</si>
  <si>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</si>
  <si>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</si>
  <si>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</si>
  <si>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</si>
  <si>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</si>
  <si>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COUT MENSUEL FINAL</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</si>
  <si>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</si>
  <si>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</si>
  <si>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</si>
  <si>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</si>
  <si>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</si>
  <si>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</si>
  <si>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</si>
  <si>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</si>
  <si>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</si>
  <si>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</si>
  <si>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</si>
  <si>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</si>
  <si>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</si>
  <si>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</si>
  <si>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</si>
  <si>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</si>
  <si>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</si>
  <si>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</si>
  <si>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</si>
  <si>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</si>
  <si>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</si>
  <si>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</si>
  <si>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</si>
  <si>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</si>
  <si>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</si>
  <si>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</si>
  <si>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</si>
  <si>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</si>
  <si>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</si>
  <si>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</si>
  <si>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</si>
  <si>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 xml:space="preserve">(1) &gt;= 1 </t>
  </si>
  <si>
    <t xml:space="preserve">Cotisations salariales </t>
  </si>
  <si>
    <t>SS TOTAL 1</t>
  </si>
  <si>
    <t>SS TOTAL 2</t>
  </si>
  <si>
    <t>Soit</t>
  </si>
  <si>
    <t>SOIT</t>
  </si>
  <si>
    <t>Salaire journalier mini net</t>
  </si>
  <si>
    <t xml:space="preserve">Montant du crédit d'impôt </t>
  </si>
  <si>
    <t xml:space="preserve">Dépenses annuelles après crédit d'impôt </t>
  </si>
  <si>
    <t xml:space="preserve">Indemnité d'entretien </t>
  </si>
  <si>
    <t>Taux horaire conventionnel (échelle 3)</t>
  </si>
  <si>
    <t>IMPÔT</t>
  </si>
  <si>
    <t>CRECHE ( Tarifs journalier)</t>
  </si>
  <si>
    <t>Plus de 3 ans</t>
  </si>
  <si>
    <t>(2)répondre par oui ou non</t>
  </si>
  <si>
    <t>Revenu annuel imposable avant abattement (pour l'accueil collectif)</t>
  </si>
  <si>
    <t>Nombre d'heures complémentaires mensuelles</t>
  </si>
  <si>
    <t>Exonération HS</t>
  </si>
  <si>
    <t>Exonération HM+HC</t>
  </si>
  <si>
    <t>Montant plancher pris en compte pour 2021</t>
  </si>
  <si>
    <t>21 320&lt;R&lt;47 377</t>
  </si>
  <si>
    <t>24 346&lt;R&lt;54 102</t>
  </si>
  <si>
    <t>27 372&lt;R&lt;60 827</t>
  </si>
  <si>
    <t>30 398&lt;R&lt;67 552</t>
  </si>
  <si>
    <t>IDR de la branche</t>
  </si>
  <si>
    <t>Maj 01/07/22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</si>
</sst>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_-;\-* #,##0.00\ _€_-;_-* &quot;-&quot;??\ _€_-;_-@_-"/>
    <numFmt numFmtId="165" formatCode="#,##0.00_ ;\-#,##0.00\ "/>
    <numFmt numFmtId="166" formatCode="0.000%"/>
  </numFmts>
  <fonts count="42" x14ac:knownFonts="1">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10"/>
      <name val="Times New Roman"/>
      <family val="1"/>
    </font>
    <font>
      <sz val="7"/>
      <name val="Arial"/>
      <family val="2"/>
    </font>
    <font>
      <b/>
      <sz val="11"/>
      <name val="Times New Roman"/>
      <family val="1"/>
    </font>
    <font>
      <b/>
      <sz val="9"/>
      <color indexed="81"/>
      <name val="Tahoma"/>
      <family val="2"/>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right/>
      <top style="thin">
        <color indexed="64"/>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right style="thin">
        <color theme="1"/>
      </right>
      <top style="thin">
        <color indexed="64"/>
      </top>
      <bottom style="thin">
        <color indexed="64"/>
      </bottom>
      <diagonal/>
    </border>
    <border>
      <left/>
      <right style="thin">
        <color theme="1"/>
      </right>
      <top/>
      <bottom/>
      <diagonal/>
    </border>
    <border>
      <left/>
      <right style="thin">
        <color theme="1"/>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theme="1"/>
      </left>
      <right style="medium">
        <color rgb="FF002060"/>
      </right>
      <top/>
      <bottom style="thin">
        <color indexed="64"/>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medium">
        <color theme="2" tint="-0.749992370372631"/>
      </right>
      <top/>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right style="thin">
        <color theme="1"/>
      </right>
      <top style="thin">
        <color indexed="64"/>
      </top>
      <bottom/>
      <diagonal/>
    </border>
    <border>
      <left/>
      <right style="medium">
        <color rgb="FF002060"/>
      </right>
      <top style="medium">
        <color theme="2" tint="-0.749992370372631"/>
      </top>
      <bottom/>
      <diagonal/>
    </border>
    <border>
      <left/>
      <right style="medium">
        <color rgb="FF002060"/>
      </right>
      <top/>
      <bottom style="hair">
        <color theme="0" tint="-0.14996795556505021"/>
      </bottom>
      <diagonal/>
    </border>
    <border>
      <left/>
      <right style="medium">
        <color rgb="FF002060"/>
      </right>
      <top style="hair">
        <color theme="0" tint="-0.14996795556505021"/>
      </top>
      <bottom style="hair">
        <color theme="0" tint="-0.14996795556505021"/>
      </bottom>
      <diagonal/>
    </border>
    <border>
      <left/>
      <right style="medium">
        <color rgb="FF002060"/>
      </right>
      <top style="hair">
        <color theme="0" tint="-0.14996795556505021"/>
      </top>
      <bottom style="thin">
        <color indexed="64"/>
      </bottom>
      <diagonal/>
    </border>
    <border>
      <left/>
      <right style="medium">
        <color rgb="FF002060"/>
      </right>
      <top style="thin">
        <color indexed="64"/>
      </top>
      <bottom style="thin">
        <color indexed="64"/>
      </bottom>
      <diagonal/>
    </border>
    <border>
      <left/>
      <right style="medium">
        <color rgb="FF002060"/>
      </right>
      <top style="thin">
        <color indexed="64"/>
      </top>
      <bottom style="hair">
        <color theme="0" tint="-0.14996795556505021"/>
      </bottom>
      <diagonal/>
    </border>
    <border>
      <left/>
      <right style="medium">
        <color rgb="FF002060"/>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medium">
        <color rgb="FF002060"/>
      </left>
      <right style="medium">
        <color rgb="FF002060"/>
      </right>
      <top/>
      <bottom style="thin">
        <color indexed="64"/>
      </bottom>
      <diagonal/>
    </border>
    <border>
      <left style="medium">
        <color rgb="FF002060"/>
      </left>
      <right/>
      <top/>
      <bottom/>
      <diagonal/>
    </border>
    <border>
      <left style="medium">
        <color rgb="FF002060"/>
      </left>
      <right style="medium">
        <color rgb="FF002060"/>
      </right>
      <top style="thin">
        <color theme="2" tint="-0.749992370372631"/>
      </top>
      <bottom style="hair">
        <color theme="0" tint="-0.14996795556505021"/>
      </bottom>
      <diagonal/>
    </border>
    <border>
      <left style="medium">
        <color theme="2" tint="-0.749992370372631"/>
      </left>
      <right/>
      <top style="thin">
        <color theme="2" tint="-0.749992370372631"/>
      </top>
      <bottom style="hair">
        <color theme="0" tint="-0.14996795556505021"/>
      </bottom>
      <diagonal/>
    </border>
    <border>
      <left style="medium">
        <color rgb="FF002060"/>
      </left>
      <right style="medium">
        <color rgb="FF002060"/>
      </right>
      <top style="medium">
        <color theme="2" tint="-0.749992370372631"/>
      </top>
      <bottom style="thin">
        <color theme="2" tint="-0.749992370372631"/>
      </bottom>
      <diagonal/>
    </border>
    <border>
      <left style="medium">
        <color rgb="FF002060"/>
      </left>
      <right style="medium">
        <color rgb="FF002060"/>
      </right>
      <top/>
      <bottom style="thin">
        <color theme="2" tint="-0.749992370372631"/>
      </bottom>
      <diagonal/>
    </border>
    <border>
      <left style="medium">
        <color rgb="FF002060"/>
      </left>
      <right style="thin">
        <color theme="1"/>
      </right>
      <top style="thin">
        <color indexed="64"/>
      </top>
      <bottom style="thin">
        <color indexed="64"/>
      </bottom>
      <diagonal/>
    </border>
    <border>
      <left style="medium">
        <color rgb="FF002060"/>
      </left>
      <right style="medium">
        <color rgb="FF002060"/>
      </right>
      <top style="medium">
        <color theme="0"/>
      </top>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right style="medium">
        <color rgb="FF002060"/>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08">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164" fontId="5" fillId="0" borderId="0" xfId="0" applyNumberFormat="1" applyFont="1" applyFill="1" applyBorder="1" applyAlignment="1" applyProtection="1">
      <alignment vertical="center"/>
      <protection hidden="1"/>
    </xf>
    <xf numFmtId="164"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5"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6" fillId="0" borderId="56" xfId="0" applyFont="1" applyBorder="1" applyAlignment="1" applyProtection="1">
      <alignment horizontal="left" vertical="center"/>
      <protection hidden="1"/>
    </xf>
    <xf numFmtId="0" fontId="5" fillId="0" borderId="57" xfId="0" applyFont="1" applyBorder="1" applyAlignment="1" applyProtection="1">
      <alignment horizontal="left" vertical="center"/>
      <protection hidden="1"/>
    </xf>
    <xf numFmtId="0" fontId="5"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55" xfId="0" applyFont="1" applyBorder="1" applyProtection="1">
      <protection hidden="1"/>
    </xf>
    <xf numFmtId="0" fontId="6" fillId="0" borderId="58" xfId="0" applyFont="1" applyBorder="1" applyAlignment="1" applyProtection="1">
      <alignment horizontal="left" vertical="center"/>
      <protection hidden="1"/>
    </xf>
    <xf numFmtId="4" fontId="0" fillId="0" borderId="0" xfId="0" applyNumberFormat="1"/>
    <xf numFmtId="0" fontId="36" fillId="0" borderId="0" xfId="0" applyFont="1" applyFill="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49" fontId="36" fillId="0" borderId="0" xfId="0" applyNumberFormat="1" applyFont="1" applyBorder="1" applyAlignment="1" applyProtection="1">
      <alignment horizontal="center" vertical="center"/>
      <protection hidden="1"/>
    </xf>
    <xf numFmtId="0" fontId="36" fillId="0" borderId="0" xfId="0" applyFont="1" applyProtection="1">
      <protection hidden="1"/>
    </xf>
    <xf numFmtId="0" fontId="7" fillId="0" borderId="0" xfId="0" applyFont="1" applyAlignment="1" applyProtection="1">
      <alignment horizontal="left" vertical="center"/>
      <protection hidden="1"/>
    </xf>
    <xf numFmtId="165" fontId="7" fillId="0" borderId="0" xfId="3" applyNumberFormat="1" applyFont="1" applyAlignment="1" applyProtection="1">
      <alignment horizontal="left" vertical="center"/>
      <protection hidden="1"/>
    </xf>
    <xf numFmtId="0" fontId="37" fillId="0" borderId="0" xfId="0" applyFont="1"/>
    <xf numFmtId="0" fontId="6" fillId="0" borderId="60" xfId="0" applyFont="1" applyBorder="1" applyAlignment="1" applyProtection="1">
      <alignment horizontal="left" vertical="center"/>
      <protection hidden="1"/>
    </xf>
    <xf numFmtId="0" fontId="5" fillId="0" borderId="57"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0"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6" fillId="0" borderId="0" xfId="0" applyFont="1" applyFill="1" applyAlignment="1" applyProtection="1">
      <alignment vertical="center"/>
      <protection hidden="1"/>
    </xf>
    <xf numFmtId="0" fontId="6" fillId="8" borderId="61" xfId="0" applyFont="1" applyFill="1" applyBorder="1" applyAlignment="1" applyProtection="1">
      <alignment horizontal="left" vertical="center"/>
      <protection hidden="1"/>
    </xf>
    <xf numFmtId="0" fontId="6" fillId="8" borderId="62" xfId="0" applyFont="1" applyFill="1" applyBorder="1" applyAlignment="1" applyProtection="1">
      <alignment horizontal="left" vertical="center"/>
      <protection hidden="1"/>
    </xf>
    <xf numFmtId="0" fontId="6" fillId="8" borderId="63" xfId="0" applyFont="1" applyFill="1" applyBorder="1" applyAlignment="1" applyProtection="1">
      <alignment horizontal="center" vertical="center"/>
      <protection hidden="1"/>
    </xf>
    <xf numFmtId="0" fontId="5" fillId="0" borderId="64" xfId="0" applyFont="1" applyFill="1" applyBorder="1" applyAlignment="1" applyProtection="1">
      <alignment horizontal="left" vertical="center"/>
      <protection hidden="1"/>
    </xf>
    <xf numFmtId="0" fontId="5" fillId="0" borderId="65" xfId="0" applyFont="1" applyFill="1" applyBorder="1" applyAlignment="1" applyProtection="1">
      <alignment horizontal="left" vertical="center"/>
      <protection hidden="1"/>
    </xf>
    <xf numFmtId="0" fontId="5" fillId="0" borderId="66" xfId="0" applyFont="1" applyFill="1" applyBorder="1" applyAlignment="1" applyProtection="1">
      <alignment horizontal="left" vertical="center"/>
      <protection hidden="1"/>
    </xf>
    <xf numFmtId="0" fontId="5" fillId="0" borderId="67" xfId="0" applyFont="1" applyFill="1" applyBorder="1" applyAlignment="1" applyProtection="1">
      <alignment horizontal="left" vertical="center"/>
      <protection hidden="1"/>
    </xf>
    <xf numFmtId="0" fontId="6" fillId="0" borderId="68" xfId="0" applyFont="1" applyBorder="1" applyAlignment="1" applyProtection="1">
      <alignment horizontal="left" vertical="center"/>
      <protection hidden="1"/>
    </xf>
    <xf numFmtId="0" fontId="5" fillId="0" borderId="64" xfId="0" applyFont="1" applyBorder="1" applyAlignment="1" applyProtection="1">
      <alignment horizontal="left" vertical="center"/>
      <protection hidden="1"/>
    </xf>
    <xf numFmtId="0" fontId="5" fillId="0" borderId="69" xfId="0" applyFont="1" applyBorder="1" applyAlignment="1" applyProtection="1">
      <alignment horizontal="left" vertical="center"/>
      <protection hidden="1"/>
    </xf>
    <xf numFmtId="0" fontId="5" fillId="0" borderId="70" xfId="0" applyFont="1" applyBorder="1" applyAlignment="1" applyProtection="1">
      <alignment horizontal="left" vertical="center"/>
      <protection hidden="1"/>
    </xf>
    <xf numFmtId="0" fontId="5" fillId="0" borderId="64" xfId="0" applyFont="1" applyBorder="1" applyProtection="1">
      <protection hidden="1"/>
    </xf>
    <xf numFmtId="0" fontId="6" fillId="0" borderId="64" xfId="0" applyFont="1" applyBorder="1" applyAlignment="1" applyProtection="1">
      <alignment horizontal="left" vertical="center"/>
      <protection hidden="1"/>
    </xf>
    <xf numFmtId="0" fontId="8" fillId="0" borderId="64" xfId="0" applyFont="1" applyBorder="1" applyAlignment="1" applyProtection="1">
      <alignment horizontal="left" vertical="center"/>
      <protection hidden="1"/>
    </xf>
    <xf numFmtId="0" fontId="7" fillId="0" borderId="64" xfId="0" applyFont="1" applyBorder="1" applyProtection="1">
      <protection hidden="1"/>
    </xf>
    <xf numFmtId="0" fontId="7" fillId="0" borderId="0" xfId="0" applyFont="1" applyBorder="1" applyProtection="1">
      <protection hidden="1"/>
    </xf>
    <xf numFmtId="0" fontId="6" fillId="0" borderId="69" xfId="0" applyFont="1" applyBorder="1" applyAlignment="1" applyProtection="1">
      <alignment horizontal="left" vertical="center"/>
      <protection hidden="1"/>
    </xf>
    <xf numFmtId="0" fontId="5" fillId="0" borderId="67" xfId="0" applyFont="1" applyBorder="1" applyAlignment="1" applyProtection="1">
      <alignment horizontal="left" vertical="center"/>
      <protection hidden="1"/>
    </xf>
    <xf numFmtId="0" fontId="5" fillId="0" borderId="67" xfId="0" applyFont="1" applyBorder="1" applyProtection="1">
      <protection hidden="1"/>
    </xf>
    <xf numFmtId="0" fontId="5" fillId="0" borderId="71"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8" fillId="8" borderId="4" xfId="0" applyFont="1" applyFill="1" applyBorder="1" applyAlignment="1" applyProtection="1">
      <alignment horizontal="left" vertical="center"/>
      <protection hidden="1"/>
    </xf>
    <xf numFmtId="0" fontId="39" fillId="8" borderId="72" xfId="0" applyFont="1" applyFill="1" applyBorder="1" applyAlignment="1" applyProtection="1">
      <alignment horizontal="left" vertical="center"/>
      <protection hidden="1"/>
    </xf>
    <xf numFmtId="0" fontId="40" fillId="8" borderId="4" xfId="0" applyFont="1" applyFill="1" applyBorder="1" applyAlignment="1" applyProtection="1">
      <alignment horizontal="left" vertical="center"/>
      <protection hidden="1"/>
    </xf>
    <xf numFmtId="0" fontId="6" fillId="8" borderId="72"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0" fontId="5" fillId="8" borderId="4" xfId="0" applyFont="1" applyFill="1" applyBorder="1" applyAlignment="1" applyProtection="1">
      <alignment horizontal="left" vertical="center"/>
      <protection hidden="1"/>
    </xf>
    <xf numFmtId="0" fontId="14" fillId="8" borderId="73" xfId="0" applyFont="1" applyFill="1" applyBorder="1" applyAlignment="1" applyProtection="1">
      <alignment horizontal="left" vertical="center"/>
      <protection hidden="1"/>
    </xf>
    <xf numFmtId="0" fontId="14" fillId="8" borderId="74" xfId="0" applyFont="1" applyFill="1" applyBorder="1" applyAlignment="1" applyProtection="1">
      <alignment horizontal="left"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164"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164" fontId="2" fillId="10" borderId="26" xfId="2" applyFont="1" applyFill="1" applyBorder="1" applyProtection="1"/>
    <xf numFmtId="164" fontId="2" fillId="10" borderId="27" xfId="2" applyFont="1" applyFill="1" applyBorder="1" applyProtection="1"/>
    <xf numFmtId="164"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2" fontId="2" fillId="11" borderId="27" xfId="0" applyNumberFormat="1" applyFont="1" applyFill="1" applyBorder="1" applyAlignment="1" applyProtection="1">
      <alignment horizontal="center"/>
    </xf>
    <xf numFmtId="0" fontId="38" fillId="12" borderId="75" xfId="0" applyFont="1" applyFill="1" applyBorder="1" applyAlignment="1" applyProtection="1">
      <alignment horizontal="center" vertical="center"/>
      <protection locked="0" hidden="1"/>
    </xf>
    <xf numFmtId="0" fontId="38" fillId="12" borderId="76" xfId="0" applyFont="1" applyFill="1" applyBorder="1" applyAlignment="1" applyProtection="1">
      <alignment horizontal="center" vertical="center"/>
      <protection locked="0" hidden="1"/>
    </xf>
    <xf numFmtId="3" fontId="38" fillId="12" borderId="76" xfId="0" applyNumberFormat="1" applyFont="1" applyFill="1" applyBorder="1" applyAlignment="1" applyProtection="1">
      <alignment horizontal="center"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14" fontId="30" fillId="0" borderId="0" xfId="0" applyNumberFormat="1" applyFont="1" applyAlignment="1" applyProtection="1">
      <alignment vertical="center"/>
      <protection hidden="1"/>
    </xf>
    <xf numFmtId="4" fontId="39" fillId="8" borderId="77"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64"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5"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164" fontId="31" fillId="0" borderId="39" xfId="2" applyFont="1" applyBorder="1" applyAlignment="1" applyProtection="1">
      <alignment horizontal="right"/>
      <protection hidden="1"/>
    </xf>
    <xf numFmtId="166" fontId="31" fillId="0" borderId="38" xfId="2" applyNumberFormat="1" applyFont="1" applyBorder="1" applyAlignment="1" applyProtection="1">
      <alignment horizontal="right"/>
      <protection hidden="1"/>
    </xf>
    <xf numFmtId="164"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164" fontId="14" fillId="0" borderId="39" xfId="2" applyNumberFormat="1" applyFont="1" applyBorder="1" applyAlignment="1" applyProtection="1">
      <alignment horizontal="right"/>
      <protection hidden="1"/>
    </xf>
    <xf numFmtId="165"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5"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164"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5"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164" fontId="31" fillId="0" borderId="44" xfId="2" applyFont="1" applyBorder="1" applyAlignment="1" applyProtection="1">
      <alignment horizontal="right"/>
      <protection hidden="1"/>
    </xf>
    <xf numFmtId="164" fontId="31" fillId="0" borderId="44"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164" fontId="31" fillId="0" borderId="44" xfId="2" applyNumberFormat="1" applyFont="1" applyBorder="1" applyAlignment="1" applyProtection="1">
      <alignment horizontal="center"/>
      <protection hidden="1"/>
    </xf>
    <xf numFmtId="164" fontId="14" fillId="0" borderId="41" xfId="2" applyNumberFormat="1" applyFont="1" applyBorder="1" applyAlignment="1" applyProtection="1">
      <alignment horizontal="center"/>
      <protection hidden="1"/>
    </xf>
    <xf numFmtId="164" fontId="5" fillId="0" borderId="0" xfId="0" applyNumberFormat="1" applyFont="1" applyProtection="1">
      <protection hidden="1"/>
    </xf>
    <xf numFmtId="0" fontId="1" fillId="0" borderId="0" xfId="0" applyFont="1" applyAlignment="1"/>
    <xf numFmtId="0" fontId="0" fillId="0" borderId="0" xfId="0" applyAlignment="1"/>
    <xf numFmtId="0" fontId="32" fillId="0" borderId="0" xfId="0" applyFont="1" applyAlignment="1"/>
    <xf numFmtId="4" fontId="5" fillId="0" borderId="78" xfId="2" applyNumberFormat="1" applyFont="1" applyFill="1" applyBorder="1" applyAlignment="1" applyProtection="1">
      <alignment horizontal="right" vertical="center"/>
      <protection hidden="1"/>
    </xf>
    <xf numFmtId="10" fontId="38" fillId="12" borderId="79" xfId="2" applyNumberFormat="1" applyFont="1" applyFill="1" applyBorder="1" applyAlignment="1" applyProtection="1">
      <alignment horizontal="right" vertical="center"/>
      <protection locked="0" hidden="1"/>
    </xf>
    <xf numFmtId="4" fontId="38" fillId="0" borderId="80" xfId="2" applyNumberFormat="1" applyFont="1" applyFill="1" applyBorder="1" applyAlignment="1" applyProtection="1">
      <alignment horizontal="right" vertical="center"/>
      <protection hidden="1"/>
    </xf>
    <xf numFmtId="0" fontId="5" fillId="0" borderId="81" xfId="0" applyFont="1" applyFill="1" applyBorder="1" applyAlignment="1" applyProtection="1">
      <alignment horizontal="center" vertical="center" wrapText="1"/>
      <protection hidden="1"/>
    </xf>
    <xf numFmtId="4" fontId="38" fillId="12" borderId="82" xfId="2" applyNumberFormat="1" applyFont="1" applyFill="1" applyBorder="1" applyAlignment="1" applyProtection="1">
      <alignment horizontal="right" vertical="center"/>
      <protection locked="0" hidden="1"/>
    </xf>
    <xf numFmtId="4" fontId="38" fillId="12" borderId="79" xfId="2" applyNumberFormat="1" applyFont="1" applyFill="1" applyBorder="1" applyAlignment="1" applyProtection="1">
      <alignment horizontal="right" vertical="center"/>
      <protection locked="0" hidden="1"/>
    </xf>
    <xf numFmtId="4" fontId="38" fillId="12" borderId="83" xfId="2" applyNumberFormat="1" applyFont="1" applyFill="1" applyBorder="1" applyAlignment="1" applyProtection="1">
      <alignment horizontal="right" vertical="center"/>
      <protection locked="0" hidden="1"/>
    </xf>
    <xf numFmtId="0" fontId="5" fillId="0" borderId="79" xfId="0" applyFont="1" applyBorder="1" applyProtection="1">
      <protection hidden="1"/>
    </xf>
    <xf numFmtId="4" fontId="6" fillId="0" borderId="79" xfId="0" applyNumberFormat="1" applyFont="1" applyBorder="1" applyAlignment="1" applyProtection="1">
      <alignment vertical="center"/>
      <protection hidden="1"/>
    </xf>
    <xf numFmtId="4" fontId="6" fillId="0" borderId="84" xfId="0" applyNumberFormat="1" applyFont="1" applyBorder="1" applyAlignment="1" applyProtection="1">
      <alignment vertical="center"/>
      <protection hidden="1"/>
    </xf>
    <xf numFmtId="4" fontId="5" fillId="0" borderId="83" xfId="0" applyNumberFormat="1" applyFont="1" applyBorder="1" applyAlignment="1" applyProtection="1">
      <alignment horizontal="center" vertical="center"/>
      <protection hidden="1"/>
    </xf>
    <xf numFmtId="4" fontId="6" fillId="0" borderId="79" xfId="2" applyNumberFormat="1" applyFont="1" applyBorder="1" applyAlignment="1" applyProtection="1">
      <alignment horizontal="right" vertical="center"/>
      <protection hidden="1"/>
    </xf>
    <xf numFmtId="2" fontId="9" fillId="0" borderId="79" xfId="0" applyNumberFormat="1" applyFont="1" applyBorder="1" applyAlignment="1" applyProtection="1">
      <alignment vertical="center"/>
      <protection hidden="1"/>
    </xf>
    <xf numFmtId="0" fontId="5" fillId="0" borderId="85" xfId="0" applyFont="1" applyBorder="1" applyProtection="1">
      <protection hidden="1"/>
    </xf>
    <xf numFmtId="0" fontId="5" fillId="0" borderId="78" xfId="0" applyFont="1" applyBorder="1" applyProtection="1">
      <protection hidden="1"/>
    </xf>
    <xf numFmtId="4" fontId="6" fillId="0" borderId="86" xfId="2" applyNumberFormat="1" applyFont="1" applyBorder="1" applyAlignment="1" applyProtection="1">
      <alignment horizontal="right" vertical="center"/>
      <protection hidden="1"/>
    </xf>
    <xf numFmtId="4" fontId="6" fillId="8" borderId="77" xfId="2" applyNumberFormat="1" applyFont="1" applyFill="1" applyBorder="1" applyAlignment="1" applyProtection="1">
      <alignment horizontal="center" vertical="center"/>
      <protection hidden="1"/>
    </xf>
    <xf numFmtId="2" fontId="6" fillId="8" borderId="77" xfId="0" applyNumberFormat="1" applyFont="1" applyFill="1" applyBorder="1" applyAlignment="1" applyProtection="1">
      <alignment horizontal="center" vertical="center"/>
      <protection hidden="1"/>
    </xf>
    <xf numFmtId="4" fontId="7" fillId="0" borderId="87" xfId="2" applyNumberFormat="1" applyFont="1" applyBorder="1" applyAlignment="1" applyProtection="1">
      <alignment horizontal="right" vertical="center"/>
      <protection hidden="1"/>
    </xf>
    <xf numFmtId="4" fontId="6" fillId="0" borderId="88" xfId="2" applyNumberFormat="1" applyFont="1" applyBorder="1" applyAlignment="1" applyProtection="1">
      <alignment horizontal="right" vertical="center"/>
      <protection hidden="1"/>
    </xf>
    <xf numFmtId="4" fontId="14" fillId="8" borderId="89" xfId="2" applyNumberFormat="1" applyFont="1" applyFill="1" applyBorder="1" applyAlignment="1" applyProtection="1">
      <alignment horizontal="center" vertical="center"/>
      <protection hidden="1"/>
    </xf>
    <xf numFmtId="0" fontId="5" fillId="0" borderId="90" xfId="0" applyFont="1" applyFill="1" applyBorder="1" applyAlignment="1" applyProtection="1">
      <alignment horizontal="center" vertical="center" wrapText="1"/>
      <protection hidden="1"/>
    </xf>
    <xf numFmtId="4" fontId="38" fillId="12" borderId="91" xfId="2" applyNumberFormat="1" applyFont="1" applyFill="1" applyBorder="1" applyAlignment="1" applyProtection="1">
      <alignment horizontal="right" vertical="center"/>
      <protection locked="0" hidden="1"/>
    </xf>
    <xf numFmtId="4" fontId="38" fillId="0" borderId="92" xfId="2" applyNumberFormat="1" applyFont="1" applyFill="1" applyBorder="1" applyAlignment="1" applyProtection="1">
      <alignment horizontal="right" vertical="center"/>
      <protection hidden="1"/>
    </xf>
    <xf numFmtId="4" fontId="38" fillId="12" borderId="92" xfId="2" applyNumberFormat="1" applyFont="1" applyFill="1" applyBorder="1" applyAlignment="1" applyProtection="1">
      <alignment horizontal="right" vertical="center"/>
      <protection locked="0" hidden="1"/>
    </xf>
    <xf numFmtId="4" fontId="39" fillId="8" borderId="93" xfId="2" applyNumberFormat="1" applyFont="1" applyFill="1" applyBorder="1" applyAlignment="1" applyProtection="1">
      <alignment horizontal="center" vertical="center"/>
      <protection hidden="1"/>
    </xf>
    <xf numFmtId="4" fontId="5" fillId="0" borderId="94" xfId="2" applyNumberFormat="1" applyFont="1" applyFill="1" applyBorder="1" applyAlignment="1" applyProtection="1">
      <alignment horizontal="right" vertical="center"/>
      <protection hidden="1"/>
    </xf>
    <xf numFmtId="0" fontId="5" fillId="0" borderId="94" xfId="0" applyFont="1" applyBorder="1" applyProtection="1">
      <protection hidden="1"/>
    </xf>
    <xf numFmtId="4" fontId="6" fillId="0" borderId="94" xfId="2" applyNumberFormat="1" applyFont="1" applyBorder="1" applyAlignment="1" applyProtection="1">
      <alignment horizontal="right" vertical="center"/>
      <protection hidden="1"/>
    </xf>
    <xf numFmtId="4" fontId="5" fillId="0" borderId="95" xfId="2" applyNumberFormat="1" applyFont="1" applyFill="1" applyBorder="1" applyAlignment="1" applyProtection="1">
      <alignment horizontal="right" vertical="center"/>
      <protection hidden="1"/>
    </xf>
    <xf numFmtId="4" fontId="40" fillId="8" borderId="96" xfId="2" applyNumberFormat="1" applyFont="1" applyFill="1" applyBorder="1" applyAlignment="1" applyProtection="1">
      <alignment horizontal="center" vertical="center"/>
      <protection hidden="1"/>
    </xf>
    <xf numFmtId="4" fontId="5" fillId="0" borderId="94" xfId="2" applyNumberFormat="1" applyFont="1" applyBorder="1" applyAlignment="1" applyProtection="1">
      <alignment horizontal="center" vertical="center"/>
      <protection hidden="1"/>
    </xf>
    <xf numFmtId="4" fontId="9" fillId="0" borderId="91" xfId="2" applyNumberFormat="1" applyFont="1" applyBorder="1" applyAlignment="1" applyProtection="1">
      <alignment horizontal="right" vertical="center"/>
      <protection hidden="1"/>
    </xf>
    <xf numFmtId="0" fontId="5" fillId="0" borderId="92" xfId="0" applyFont="1" applyBorder="1" applyProtection="1">
      <protection hidden="1"/>
    </xf>
    <xf numFmtId="0" fontId="5" fillId="0" borderId="97" xfId="0" applyFont="1" applyBorder="1" applyProtection="1">
      <protection hidden="1"/>
    </xf>
    <xf numFmtId="2" fontId="9" fillId="0" borderId="92" xfId="0" applyNumberFormat="1" applyFont="1" applyBorder="1" applyAlignment="1" applyProtection="1">
      <alignment vertical="center"/>
      <protection hidden="1"/>
    </xf>
    <xf numFmtId="4" fontId="6" fillId="0" borderId="80" xfId="2" applyNumberFormat="1" applyFont="1" applyBorder="1" applyAlignment="1" applyProtection="1">
      <alignment horizontal="right" vertical="center"/>
      <protection hidden="1"/>
    </xf>
    <xf numFmtId="4" fontId="6" fillId="8" borderId="93" xfId="2" applyNumberFormat="1" applyFont="1" applyFill="1" applyBorder="1" applyAlignment="1" applyProtection="1">
      <alignment horizontal="center" vertical="center"/>
      <protection hidden="1"/>
    </xf>
    <xf numFmtId="4" fontId="38" fillId="12" borderId="98" xfId="2" applyNumberFormat="1" applyFont="1" applyFill="1" applyBorder="1" applyAlignment="1" applyProtection="1">
      <alignment horizontal="right" vertical="center"/>
      <protection locked="0" hidden="1"/>
    </xf>
    <xf numFmtId="4" fontId="7" fillId="0" borderId="91" xfId="2" applyNumberFormat="1" applyFont="1" applyBorder="1" applyAlignment="1" applyProtection="1">
      <alignment horizontal="right" vertical="center"/>
      <protection hidden="1"/>
    </xf>
    <xf numFmtId="4" fontId="14" fillId="8" borderId="99" xfId="2" applyNumberFormat="1" applyFont="1" applyFill="1" applyBorder="1" applyAlignment="1" applyProtection="1">
      <alignment horizontal="center" vertical="center"/>
      <protection hidden="1"/>
    </xf>
    <xf numFmtId="0" fontId="5" fillId="0" borderId="100" xfId="0" applyFont="1" applyBorder="1" applyAlignment="1" applyProtection="1">
      <alignment vertical="center"/>
      <protection hidden="1"/>
    </xf>
    <xf numFmtId="0" fontId="5" fillId="0" borderId="100" xfId="0" applyFont="1" applyBorder="1" applyProtection="1">
      <protection hidden="1"/>
    </xf>
    <xf numFmtId="4" fontId="5" fillId="0" borderId="100" xfId="0" applyNumberFormat="1" applyFont="1" applyBorder="1" applyAlignment="1" applyProtection="1">
      <alignment vertical="center"/>
      <protection hidden="1"/>
    </xf>
    <xf numFmtId="0" fontId="5" fillId="0" borderId="101" xfId="0" applyFont="1" applyBorder="1" applyProtection="1">
      <protection hidden="1"/>
    </xf>
    <xf numFmtId="2" fontId="6" fillId="0" borderId="102" xfId="0" applyNumberFormat="1" applyFont="1" applyBorder="1" applyAlignment="1" applyProtection="1">
      <alignment horizontal="right" vertical="center"/>
      <protection hidden="1"/>
    </xf>
    <xf numFmtId="2" fontId="6" fillId="8" borderId="103" xfId="0" applyNumberFormat="1" applyFont="1" applyFill="1" applyBorder="1" applyAlignment="1" applyProtection="1">
      <alignment horizontal="center" vertical="center"/>
      <protection hidden="1"/>
    </xf>
    <xf numFmtId="4" fontId="7" fillId="0" borderId="104" xfId="2" applyNumberFormat="1" applyFont="1" applyBorder="1" applyAlignment="1" applyProtection="1">
      <alignment horizontal="right" vertical="center"/>
      <protection hidden="1"/>
    </xf>
    <xf numFmtId="4" fontId="6" fillId="0" borderId="102" xfId="2" applyNumberFormat="1" applyFont="1" applyBorder="1" applyAlignment="1" applyProtection="1">
      <alignment horizontal="right" vertical="center"/>
      <protection hidden="1"/>
    </xf>
    <xf numFmtId="4" fontId="14" fillId="8" borderId="105" xfId="2" applyNumberFormat="1" applyFont="1" applyFill="1" applyBorder="1" applyAlignment="1" applyProtection="1">
      <alignment horizontal="center" vertical="center"/>
      <protection hidden="1"/>
    </xf>
    <xf numFmtId="164" fontId="5" fillId="0" borderId="106" xfId="0" applyNumberFormat="1" applyFont="1" applyFill="1" applyBorder="1" applyAlignment="1" applyProtection="1">
      <alignment horizontal="right" vertical="center"/>
      <protection locked="0" hidden="1"/>
    </xf>
    <xf numFmtId="0" fontId="38" fillId="12" borderId="107" xfId="0" applyFont="1" applyFill="1" applyBorder="1" applyAlignment="1" applyProtection="1">
      <alignment vertical="center"/>
      <protection hidden="1"/>
    </xf>
    <xf numFmtId="0" fontId="5" fillId="0" borderId="94" xfId="0" applyFont="1" applyBorder="1" applyAlignment="1" applyProtection="1">
      <alignment vertical="center"/>
      <protection hidden="1"/>
    </xf>
    <xf numFmtId="4" fontId="39" fillId="8" borderId="93" xfId="0" applyNumberFormat="1" applyFont="1" applyFill="1" applyBorder="1" applyAlignment="1" applyProtection="1">
      <alignment horizontal="center" vertical="center"/>
      <protection hidden="1"/>
    </xf>
    <xf numFmtId="4" fontId="38" fillId="12" borderId="108" xfId="2" applyNumberFormat="1" applyFont="1" applyFill="1" applyBorder="1" applyAlignment="1" applyProtection="1">
      <alignment horizontal="right" vertical="center"/>
      <protection locked="0" hidden="1"/>
    </xf>
    <xf numFmtId="4" fontId="6" fillId="0" borderId="92" xfId="0" applyNumberFormat="1" applyFont="1" applyBorder="1" applyAlignment="1" applyProtection="1">
      <alignment vertical="center"/>
      <protection hidden="1"/>
    </xf>
    <xf numFmtId="4" fontId="6" fillId="0" borderId="107" xfId="0" applyNumberFormat="1" applyFont="1" applyBorder="1" applyAlignment="1" applyProtection="1">
      <alignment vertical="center"/>
      <protection hidden="1"/>
    </xf>
    <xf numFmtId="4" fontId="5" fillId="0" borderId="108" xfId="0" applyNumberFormat="1" applyFont="1" applyBorder="1" applyAlignment="1" applyProtection="1">
      <alignment horizontal="center" vertical="center"/>
      <protection hidden="1"/>
    </xf>
    <xf numFmtId="0" fontId="5" fillId="0" borderId="92" xfId="0" applyFont="1" applyBorder="1" applyAlignment="1" applyProtection="1">
      <alignment vertical="center"/>
      <protection hidden="1"/>
    </xf>
    <xf numFmtId="0" fontId="5" fillId="0" borderId="109" xfId="0" applyFont="1" applyBorder="1" applyProtection="1">
      <protection hidden="1"/>
    </xf>
    <xf numFmtId="0" fontId="5" fillId="0" borderId="95" xfId="0" applyFont="1" applyBorder="1" applyAlignment="1" applyProtection="1">
      <alignment vertical="center"/>
      <protection hidden="1"/>
    </xf>
    <xf numFmtId="2" fontId="6" fillId="8" borderId="93" xfId="0" applyNumberFormat="1" applyFont="1" applyFill="1" applyBorder="1" applyAlignment="1" applyProtection="1">
      <alignment horizontal="center" vertical="center"/>
      <protection hidden="1"/>
    </xf>
    <xf numFmtId="4" fontId="38" fillId="12" borderId="87" xfId="2" applyNumberFormat="1" applyFont="1" applyFill="1" applyBorder="1" applyAlignment="1" applyProtection="1">
      <alignment horizontal="right" vertical="center"/>
      <protection locked="0" hidden="1"/>
    </xf>
    <xf numFmtId="4" fontId="38" fillId="0" borderId="79" xfId="2" applyNumberFormat="1" applyFont="1" applyFill="1" applyBorder="1" applyAlignment="1" applyProtection="1">
      <alignment horizontal="right" vertical="center"/>
      <protection hidden="1"/>
    </xf>
    <xf numFmtId="4" fontId="38" fillId="12" borderId="88" xfId="2" applyNumberFormat="1" applyFont="1" applyFill="1" applyBorder="1" applyAlignment="1" applyProtection="1">
      <alignment horizontal="right" vertical="center"/>
      <protection locked="0" hidden="1"/>
    </xf>
    <xf numFmtId="4" fontId="39" fillId="8" borderId="77" xfId="2" applyNumberFormat="1" applyFont="1" applyFill="1" applyBorder="1" applyAlignment="1" applyProtection="1">
      <alignment horizontal="center" vertical="center"/>
      <protection hidden="1"/>
    </xf>
    <xf numFmtId="4" fontId="5" fillId="0" borderId="83" xfId="2" applyNumberFormat="1" applyFont="1" applyFill="1" applyBorder="1" applyAlignment="1" applyProtection="1">
      <alignment horizontal="right" vertical="center"/>
      <protection hidden="1"/>
    </xf>
    <xf numFmtId="4" fontId="39" fillId="8" borderId="4" xfId="2" applyNumberFormat="1" applyFont="1" applyFill="1" applyBorder="1" applyAlignment="1" applyProtection="1">
      <alignment horizontal="center" vertical="center"/>
      <protection hidden="1"/>
    </xf>
    <xf numFmtId="4" fontId="5" fillId="0" borderId="83" xfId="2" applyNumberFormat="1" applyFont="1" applyBorder="1" applyAlignment="1" applyProtection="1">
      <alignment horizontal="center" vertical="center"/>
      <protection hidden="1"/>
    </xf>
    <xf numFmtId="4" fontId="9" fillId="0" borderId="79" xfId="2" applyNumberFormat="1" applyFont="1" applyBorder="1" applyAlignment="1" applyProtection="1">
      <alignment horizontal="right" vertical="center"/>
      <protection hidden="1"/>
    </xf>
    <xf numFmtId="2" fontId="9" fillId="0" borderId="85" xfId="0" applyNumberFormat="1" applyFont="1" applyBorder="1" applyProtection="1">
      <protection hidden="1"/>
    </xf>
    <xf numFmtId="4" fontId="38" fillId="12" borderId="110" xfId="2" applyNumberFormat="1" applyFont="1" applyFill="1" applyBorder="1" applyAlignment="1" applyProtection="1">
      <alignment horizontal="right" vertical="center"/>
      <protection locked="0" hidden="1"/>
    </xf>
    <xf numFmtId="0" fontId="5" fillId="0" borderId="111" xfId="0" applyFont="1" applyFill="1" applyBorder="1" applyAlignment="1" applyProtection="1">
      <alignment horizontal="left" vertical="center"/>
      <protection hidden="1"/>
    </xf>
    <xf numFmtId="0" fontId="5" fillId="0" borderId="97" xfId="0" applyFont="1" applyFill="1" applyBorder="1" applyAlignment="1" applyProtection="1">
      <alignment horizontal="left" vertical="center"/>
      <protection hidden="1"/>
    </xf>
    <xf numFmtId="0" fontId="5" fillId="0" borderId="112" xfId="0" applyFont="1" applyBorder="1" applyAlignment="1" applyProtection="1">
      <alignment horizontal="left" vertical="center"/>
      <protection hidden="1"/>
    </xf>
    <xf numFmtId="0" fontId="5" fillId="0" borderId="113" xfId="0" applyFont="1" applyBorder="1" applyAlignment="1" applyProtection="1">
      <alignment horizontal="left" vertical="center"/>
      <protection hidden="1"/>
    </xf>
    <xf numFmtId="0" fontId="5" fillId="0" borderId="114" xfId="0" applyFont="1" applyBorder="1" applyAlignment="1" applyProtection="1">
      <alignment horizontal="left" vertical="center"/>
      <protection hidden="1"/>
    </xf>
    <xf numFmtId="0" fontId="38" fillId="8" borderId="115" xfId="0" applyFont="1" applyFill="1" applyBorder="1" applyAlignment="1" applyProtection="1">
      <alignment horizontal="left" vertical="center"/>
      <protection hidden="1"/>
    </xf>
    <xf numFmtId="0" fontId="5" fillId="0" borderId="116" xfId="0" applyFont="1" applyBorder="1" applyAlignment="1" applyProtection="1">
      <alignment horizontal="left" vertical="center"/>
      <protection hidden="1"/>
    </xf>
    <xf numFmtId="0" fontId="5" fillId="0" borderId="113" xfId="0" applyFont="1" applyBorder="1" applyProtection="1">
      <protection hidden="1"/>
    </xf>
    <xf numFmtId="0" fontId="6" fillId="0" borderId="113" xfId="0" applyFont="1" applyBorder="1" applyAlignment="1" applyProtection="1">
      <alignment horizontal="left" vertical="center"/>
      <protection hidden="1"/>
    </xf>
    <xf numFmtId="0" fontId="40" fillId="8" borderId="115" xfId="0" applyFont="1" applyFill="1" applyBorder="1" applyAlignment="1" applyProtection="1">
      <alignment horizontal="left" vertical="center"/>
      <protection hidden="1"/>
    </xf>
    <xf numFmtId="4" fontId="7" fillId="0" borderId="97" xfId="0" applyNumberFormat="1" applyFont="1" applyBorder="1" applyAlignment="1" applyProtection="1">
      <alignment horizontal="center"/>
      <protection hidden="1"/>
    </xf>
    <xf numFmtId="2" fontId="5" fillId="0" borderId="114" xfId="0" applyNumberFormat="1" applyFont="1" applyBorder="1" applyAlignment="1" applyProtection="1">
      <alignment horizontal="left" vertical="center"/>
      <protection hidden="1"/>
    </xf>
    <xf numFmtId="0" fontId="6" fillId="8" borderId="115" xfId="0" applyFont="1" applyFill="1" applyBorder="1" applyAlignment="1" applyProtection="1">
      <alignment horizontal="left" vertical="center"/>
      <protection hidden="1"/>
    </xf>
    <xf numFmtId="0" fontId="5" fillId="0" borderId="97" xfId="0" applyFont="1" applyBorder="1" applyAlignment="1" applyProtection="1">
      <alignment horizontal="left" vertical="center"/>
      <protection hidden="1"/>
    </xf>
    <xf numFmtId="0" fontId="5" fillId="8" borderId="115" xfId="0" applyFont="1" applyFill="1" applyBorder="1" applyAlignment="1" applyProtection="1">
      <alignment horizontal="left" vertical="center"/>
      <protection hidden="1"/>
    </xf>
    <xf numFmtId="0" fontId="6" fillId="0" borderId="114" xfId="0" applyFont="1" applyBorder="1" applyAlignment="1" applyProtection="1">
      <alignment horizontal="left" vertical="center"/>
      <protection hidden="1"/>
    </xf>
    <xf numFmtId="0" fontId="14" fillId="8" borderId="117" xfId="0" applyFont="1" applyFill="1" applyBorder="1" applyAlignment="1" applyProtection="1">
      <alignment horizontal="left" vertical="center"/>
      <protection hidden="1"/>
    </xf>
    <xf numFmtId="0" fontId="5" fillId="0" borderId="0" xfId="0" applyFont="1" applyFill="1" applyBorder="1" applyProtection="1">
      <protection hidden="1"/>
    </xf>
    <xf numFmtId="4" fontId="38" fillId="0" borderId="118" xfId="2" applyNumberFormat="1" applyFont="1" applyFill="1" applyBorder="1" applyAlignment="1" applyProtection="1">
      <alignment horizontal="right" vertical="center"/>
      <protection locked="0" hidden="1"/>
    </xf>
    <xf numFmtId="4" fontId="38" fillId="0" borderId="119" xfId="2" applyNumberFormat="1" applyFont="1" applyFill="1" applyBorder="1" applyAlignment="1" applyProtection="1">
      <alignment horizontal="right" vertical="center"/>
      <protection hidden="1"/>
    </xf>
    <xf numFmtId="4" fontId="38" fillId="0" borderId="119" xfId="2" applyNumberFormat="1" applyFont="1" applyFill="1" applyBorder="1" applyAlignment="1" applyProtection="1">
      <alignment horizontal="right" vertical="center"/>
      <protection locked="0" hidden="1"/>
    </xf>
    <xf numFmtId="4" fontId="38" fillId="0" borderId="120" xfId="2" applyNumberFormat="1" applyFont="1" applyFill="1" applyBorder="1" applyAlignment="1" applyProtection="1">
      <alignment horizontal="right" vertical="center"/>
      <protection hidden="1"/>
    </xf>
    <xf numFmtId="4" fontId="5" fillId="0" borderId="121" xfId="2" applyNumberFormat="1" applyFont="1" applyFill="1" applyBorder="1" applyAlignment="1" applyProtection="1">
      <alignment horizontal="right" vertical="center"/>
      <protection hidden="1"/>
    </xf>
    <xf numFmtId="0" fontId="5" fillId="0" borderId="121" xfId="0" applyFont="1" applyFill="1" applyBorder="1" applyProtection="1">
      <protection hidden="1"/>
    </xf>
    <xf numFmtId="4" fontId="6" fillId="0" borderId="121" xfId="2" applyNumberFormat="1" applyFont="1" applyFill="1" applyBorder="1" applyAlignment="1" applyProtection="1">
      <alignment horizontal="right" vertical="center"/>
      <protection hidden="1"/>
    </xf>
    <xf numFmtId="4" fontId="5" fillId="0" borderId="121" xfId="2" applyNumberFormat="1" applyFont="1" applyFill="1" applyBorder="1" applyAlignment="1" applyProtection="1">
      <alignment horizontal="center" vertical="center"/>
      <protection hidden="1"/>
    </xf>
    <xf numFmtId="4" fontId="9" fillId="0" borderId="118" xfId="2" applyNumberFormat="1" applyFont="1" applyFill="1" applyBorder="1" applyAlignment="1" applyProtection="1">
      <alignment horizontal="right" vertical="center"/>
      <protection hidden="1"/>
    </xf>
    <xf numFmtId="0" fontId="5" fillId="0" borderId="119" xfId="0" applyFont="1" applyFill="1" applyBorder="1" applyProtection="1">
      <protection hidden="1"/>
    </xf>
    <xf numFmtId="2" fontId="9" fillId="0" borderId="119" xfId="0" applyNumberFormat="1" applyFont="1" applyFill="1" applyBorder="1" applyAlignment="1" applyProtection="1">
      <alignment vertical="center"/>
      <protection hidden="1"/>
    </xf>
    <xf numFmtId="4" fontId="38" fillId="0" borderId="121" xfId="2" applyNumberFormat="1" applyFont="1" applyFill="1" applyBorder="1" applyAlignment="1" applyProtection="1">
      <alignment horizontal="right" vertical="center"/>
      <protection locked="0" hidden="1"/>
    </xf>
    <xf numFmtId="0" fontId="32" fillId="0" borderId="0" xfId="0" applyFont="1" applyBorder="1" applyAlignment="1"/>
    <xf numFmtId="0" fontId="5" fillId="0" borderId="0" xfId="0" applyFont="1" applyBorder="1" applyAlignment="1" applyProtection="1">
      <protection hidden="1"/>
    </xf>
    <xf numFmtId="0" fontId="5" fillId="0" borderId="121" xfId="0" applyFont="1" applyFill="1" applyBorder="1" applyAlignment="1" applyProtection="1">
      <alignment horizontal="center" vertical="center" wrapText="1"/>
      <protection hidden="1"/>
    </xf>
    <xf numFmtId="4" fontId="39" fillId="0" borderId="121" xfId="2" applyNumberFormat="1" applyFont="1" applyFill="1" applyBorder="1" applyAlignment="1" applyProtection="1">
      <alignment horizontal="center" vertical="center"/>
      <protection hidden="1"/>
    </xf>
    <xf numFmtId="4" fontId="40" fillId="0" borderId="121" xfId="2" applyNumberFormat="1" applyFont="1" applyFill="1" applyBorder="1" applyAlignment="1" applyProtection="1">
      <alignment horizontal="center" vertical="center"/>
      <protection hidden="1"/>
    </xf>
    <xf numFmtId="4" fontId="6" fillId="0" borderId="122" xfId="2" applyNumberFormat="1" applyFont="1" applyFill="1" applyBorder="1" applyAlignment="1" applyProtection="1">
      <alignment horizontal="center" vertical="center"/>
      <protection hidden="1"/>
    </xf>
    <xf numFmtId="4" fontId="6" fillId="0" borderId="121" xfId="2" applyNumberFormat="1" applyFont="1" applyFill="1" applyBorder="1" applyAlignment="1" applyProtection="1">
      <alignment horizontal="center" vertical="center"/>
      <protection hidden="1"/>
    </xf>
    <xf numFmtId="4" fontId="38" fillId="0" borderId="123" xfId="2" applyNumberFormat="1" applyFont="1" applyFill="1" applyBorder="1" applyAlignment="1" applyProtection="1">
      <alignment horizontal="right" vertical="center"/>
      <protection locked="0" hidden="1"/>
    </xf>
    <xf numFmtId="4" fontId="6" fillId="0" borderId="120" xfId="2" applyNumberFormat="1" applyFont="1" applyFill="1" applyBorder="1" applyAlignment="1" applyProtection="1">
      <alignment horizontal="right" vertical="center"/>
      <protection hidden="1"/>
    </xf>
    <xf numFmtId="4" fontId="14" fillId="0" borderId="121" xfId="2" applyNumberFormat="1" applyFont="1" applyFill="1" applyBorder="1" applyAlignment="1" applyProtection="1">
      <alignment horizontal="center" vertical="center"/>
      <protection hidden="1"/>
    </xf>
    <xf numFmtId="164" fontId="5" fillId="0" borderId="124" xfId="0" applyNumberFormat="1" applyFont="1" applyFill="1" applyBorder="1" applyAlignment="1" applyProtection="1">
      <alignment horizontal="right" vertical="center"/>
      <protection locked="0" hidden="1"/>
    </xf>
    <xf numFmtId="164" fontId="5" fillId="0" borderId="118" xfId="0" applyNumberFormat="1" applyFont="1" applyFill="1" applyBorder="1" applyAlignment="1" applyProtection="1">
      <alignment horizontal="right" vertical="center"/>
      <protection locked="0" hidden="1"/>
    </xf>
    <xf numFmtId="0" fontId="5" fillId="0" borderId="125" xfId="0" applyFont="1" applyFill="1" applyBorder="1" applyAlignment="1" applyProtection="1">
      <alignment horizontal="left" vertical="center"/>
      <protection hidden="1"/>
    </xf>
    <xf numFmtId="4" fontId="38" fillId="0" borderId="120" xfId="2" applyNumberFormat="1" applyFont="1" applyFill="1" applyBorder="1" applyAlignment="1" applyProtection="1">
      <alignment horizontal="right" vertical="center"/>
      <protection locked="0" hidden="1"/>
    </xf>
    <xf numFmtId="0" fontId="38" fillId="0" borderId="121" xfId="0" applyFont="1" applyFill="1" applyBorder="1" applyAlignment="1" applyProtection="1">
      <alignment vertical="center"/>
      <protection hidden="1"/>
    </xf>
    <xf numFmtId="0" fontId="5" fillId="0" borderId="121" xfId="0" applyFont="1" applyFill="1" applyBorder="1" applyAlignment="1" applyProtection="1">
      <alignment vertical="center"/>
      <protection hidden="1"/>
    </xf>
    <xf numFmtId="4" fontId="39" fillId="0" borderId="121" xfId="0" applyNumberFormat="1" applyFont="1" applyFill="1" applyBorder="1" applyAlignment="1" applyProtection="1">
      <alignment horizontal="center" vertical="center"/>
      <protection hidden="1"/>
    </xf>
    <xf numFmtId="4" fontId="6" fillId="0" borderId="121" xfId="0" applyNumberFormat="1" applyFont="1" applyFill="1" applyBorder="1" applyAlignment="1" applyProtection="1">
      <alignment vertical="center"/>
      <protection hidden="1"/>
    </xf>
    <xf numFmtId="4" fontId="5" fillId="0" borderId="121" xfId="0" applyNumberFormat="1" applyFont="1" applyFill="1" applyBorder="1" applyAlignment="1" applyProtection="1">
      <alignment horizontal="center" vertical="center"/>
      <protection hidden="1"/>
    </xf>
    <xf numFmtId="2" fontId="9" fillId="0" borderId="121" xfId="0" applyNumberFormat="1" applyFont="1" applyFill="1" applyBorder="1" applyAlignment="1" applyProtection="1">
      <alignment vertical="center"/>
      <protection hidden="1"/>
    </xf>
    <xf numFmtId="2" fontId="6" fillId="0" borderId="122" xfId="0" applyNumberFormat="1" applyFont="1" applyFill="1" applyBorder="1" applyAlignment="1" applyProtection="1">
      <alignment horizontal="center" vertical="center"/>
      <protection hidden="1"/>
    </xf>
    <xf numFmtId="0" fontId="6" fillId="8" borderId="126" xfId="0" applyFont="1" applyFill="1" applyBorder="1" applyAlignment="1" applyProtection="1">
      <alignment horizontal="center" vertical="center" wrapText="1"/>
      <protection hidden="1"/>
    </xf>
    <xf numFmtId="0" fontId="5" fillId="0" borderId="127" xfId="0" applyFont="1" applyBorder="1" applyAlignment="1" applyProtection="1">
      <alignment horizontal="center" vertical="center" wrapText="1"/>
      <protection hidden="1"/>
    </xf>
    <xf numFmtId="3" fontId="38" fillId="12" borderId="119" xfId="2" applyNumberFormat="1" applyFont="1" applyFill="1" applyBorder="1" applyAlignment="1" applyProtection="1">
      <alignment horizontal="right" vertical="center"/>
      <protection locked="0" hidden="1"/>
    </xf>
    <xf numFmtId="4" fontId="10" fillId="0" borderId="128" xfId="2" applyNumberFormat="1" applyFont="1" applyFill="1" applyBorder="1" applyAlignment="1" applyProtection="1">
      <alignment horizontal="right" vertical="center"/>
      <protection hidden="1"/>
    </xf>
    <xf numFmtId="4" fontId="7" fillId="0" borderId="129" xfId="2" applyNumberFormat="1" applyFont="1" applyFill="1" applyBorder="1" applyAlignment="1" applyProtection="1">
      <alignment horizontal="right" vertical="center"/>
      <protection hidden="1"/>
    </xf>
    <xf numFmtId="4" fontId="7" fillId="0" borderId="130" xfId="2" applyNumberFormat="1" applyFont="1" applyFill="1" applyBorder="1" applyAlignment="1" applyProtection="1">
      <alignment horizontal="right" vertical="center"/>
      <protection hidden="1"/>
    </xf>
    <xf numFmtId="0" fontId="5" fillId="0" borderId="97" xfId="0" applyFont="1" applyFill="1" applyBorder="1" applyAlignment="1" applyProtection="1">
      <alignment vertical="center"/>
      <protection hidden="1"/>
    </xf>
    <xf numFmtId="0" fontId="5" fillId="0" borderId="93" xfId="0" applyFont="1" applyBorder="1" applyAlignment="1" applyProtection="1">
      <alignment vertical="center"/>
      <protection hidden="1"/>
    </xf>
    <xf numFmtId="0" fontId="30" fillId="0" borderId="0" xfId="0" applyFont="1" applyAlignment="1" applyProtection="1">
      <alignment horizontal="left" vertical="center"/>
      <protection hidden="1"/>
    </xf>
    <xf numFmtId="166" fontId="31" fillId="13" borderId="38" xfId="2" applyNumberFormat="1" applyFont="1" applyFill="1" applyBorder="1" applyAlignment="1" applyProtection="1">
      <alignment horizontal="right"/>
      <protection hidden="1"/>
    </xf>
    <xf numFmtId="166"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6" fontId="0" fillId="0" borderId="0" xfId="0" applyNumberFormat="1"/>
    <xf numFmtId="10" fontId="0" fillId="0" borderId="0" xfId="0" applyNumberFormat="1"/>
    <xf numFmtId="0" fontId="34" fillId="14" borderId="45" xfId="0" applyFont="1" applyFill="1" applyBorder="1"/>
    <xf numFmtId="10" fontId="34" fillId="14" borderId="46" xfId="0" applyNumberFormat="1" applyFont="1" applyFill="1" applyBorder="1"/>
    <xf numFmtId="10" fontId="34" fillId="14" borderId="47" xfId="0" applyNumberFormat="1" applyFont="1" applyFill="1" applyBorder="1"/>
    <xf numFmtId="0" fontId="14" fillId="0" borderId="0" xfId="0" applyFont="1" applyFill="1" applyBorder="1" applyAlignment="1" applyProtection="1">
      <alignment horizontal="left" indent="2"/>
      <protection hidden="1"/>
    </xf>
    <xf numFmtId="0" fontId="34" fillId="15" borderId="45" xfId="0" applyFont="1" applyFill="1" applyBorder="1"/>
    <xf numFmtId="10" fontId="34" fillId="15" borderId="46" xfId="0" applyNumberFormat="1" applyFont="1" applyFill="1" applyBorder="1"/>
    <xf numFmtId="10" fontId="34" fillId="15" borderId="47" xfId="0" applyNumberFormat="1" applyFont="1" applyFill="1" applyBorder="1"/>
    <xf numFmtId="0" fontId="31" fillId="0" borderId="38" xfId="0" applyFont="1" applyFill="1" applyBorder="1" applyProtection="1">
      <protection hidden="1"/>
    </xf>
    <xf numFmtId="164" fontId="31" fillId="0" borderId="39" xfId="2" applyFont="1" applyFill="1" applyBorder="1" applyAlignment="1" applyProtection="1">
      <alignment horizontal="right"/>
      <protection hidden="1"/>
    </xf>
    <xf numFmtId="164" fontId="31" fillId="0" borderId="39" xfId="2" applyNumberFormat="1" applyFont="1" applyFill="1" applyBorder="1" applyAlignment="1" applyProtection="1">
      <alignment horizontal="center"/>
      <protection hidden="1"/>
    </xf>
    <xf numFmtId="0" fontId="0" fillId="13" borderId="0" xfId="0" applyFill="1"/>
    <xf numFmtId="166" fontId="31" fillId="13" borderId="42" xfId="2" applyNumberFormat="1" applyFont="1" applyFill="1" applyBorder="1" applyAlignment="1" applyProtection="1">
      <alignment horizontal="right"/>
      <protection hidden="1"/>
    </xf>
    <xf numFmtId="0" fontId="2" fillId="9" borderId="26" xfId="0" applyFont="1" applyFill="1" applyBorder="1" applyAlignment="1" applyProtection="1">
      <alignment horizontal="center"/>
    </xf>
    <xf numFmtId="0" fontId="29" fillId="9" borderId="26" xfId="0" applyFont="1" applyFill="1" applyBorder="1" applyAlignment="1">
      <alignment horizontal="center"/>
    </xf>
    <xf numFmtId="0" fontId="29" fillId="9" borderId="30" xfId="0" applyFont="1" applyFill="1" applyBorder="1" applyAlignment="1">
      <alignment horizontal="center"/>
    </xf>
    <xf numFmtId="0" fontId="2" fillId="9" borderId="30" xfId="0" applyFont="1" applyFill="1" applyBorder="1" applyProtection="1"/>
    <xf numFmtId="0" fontId="2" fillId="9" borderId="32" xfId="0" applyFont="1" applyFill="1" applyBorder="1" applyProtection="1"/>
    <xf numFmtId="0" fontId="4" fillId="13" borderId="26" xfId="0" applyFont="1" applyFill="1" applyBorder="1" applyAlignment="1">
      <alignment horizontal="center" vertical="center"/>
    </xf>
    <xf numFmtId="39" fontId="2" fillId="10" borderId="26" xfId="3" applyNumberFormat="1" applyFont="1" applyFill="1" applyBorder="1" applyAlignment="1" applyProtection="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49" fontId="24" fillId="0" borderId="0" xfId="0" applyNumberFormat="1" applyFont="1" applyAlignment="1" applyProtection="1">
      <alignment horizontal="left" vertical="center"/>
      <protection hidden="1"/>
    </xf>
    <xf numFmtId="166" fontId="31" fillId="0" borderId="42" xfId="2" applyNumberFormat="1" applyFont="1" applyFill="1" applyBorder="1" applyAlignment="1" applyProtection="1">
      <alignment horizontal="right"/>
      <protection hidden="1"/>
    </xf>
    <xf numFmtId="0" fontId="5" fillId="0" borderId="135" xfId="0" applyFont="1" applyBorder="1" applyAlignment="1" applyProtection="1">
      <alignment horizontal="left" vertical="center" wrapText="1"/>
      <protection hidden="1"/>
    </xf>
    <xf numFmtId="0" fontId="5" fillId="0" borderId="60" xfId="0" applyFont="1" applyBorder="1" applyAlignment="1" applyProtection="1">
      <alignment horizontal="left" vertical="center" wrapText="1"/>
      <protection hidden="1"/>
    </xf>
    <xf numFmtId="0" fontId="5" fillId="0" borderId="136" xfId="0" applyFont="1" applyBorder="1" applyAlignment="1" applyProtection="1">
      <alignment horizontal="left" vertical="center"/>
      <protection hidden="1"/>
    </xf>
    <xf numFmtId="4" fontId="38" fillId="12" borderId="84" xfId="2" applyNumberFormat="1" applyFont="1" applyFill="1" applyBorder="1" applyAlignment="1" applyProtection="1">
      <alignment horizontal="right" vertical="center"/>
      <protection locked="0" hidden="1"/>
    </xf>
    <xf numFmtId="4" fontId="38" fillId="12" borderId="107" xfId="2" applyNumberFormat="1" applyFont="1" applyFill="1" applyBorder="1" applyAlignment="1" applyProtection="1">
      <alignment horizontal="right" vertical="center"/>
      <protection locked="0" hidden="1"/>
    </xf>
    <xf numFmtId="164" fontId="0" fillId="0" borderId="0" xfId="0" applyNumberFormat="1"/>
    <xf numFmtId="0" fontId="14" fillId="0" borderId="0" xfId="0" applyFont="1" applyBorder="1" applyProtection="1">
      <protection hidden="1"/>
    </xf>
    <xf numFmtId="165" fontId="14" fillId="0" borderId="39" xfId="2" applyNumberFormat="1" applyFont="1" applyBorder="1" applyProtection="1">
      <protection hidden="1"/>
    </xf>
    <xf numFmtId="166" fontId="14" fillId="0" borderId="38" xfId="2" applyNumberFormat="1" applyFont="1" applyFill="1" applyBorder="1" applyAlignment="1" applyProtection="1">
      <alignment horizontal="right"/>
      <protection hidden="1"/>
    </xf>
    <xf numFmtId="164" fontId="14" fillId="0" borderId="39" xfId="2" applyFont="1" applyFill="1" applyBorder="1" applyAlignment="1" applyProtection="1">
      <alignment horizontal="right"/>
      <protection hidden="1"/>
    </xf>
    <xf numFmtId="0" fontId="34" fillId="0" borderId="0" xfId="0" applyFont="1"/>
    <xf numFmtId="166" fontId="14" fillId="13" borderId="38" xfId="2" applyNumberFormat="1" applyFont="1" applyFill="1" applyBorder="1" applyAlignment="1" applyProtection="1">
      <alignment horizontal="right"/>
      <protection hidden="1"/>
    </xf>
    <xf numFmtId="164" fontId="14" fillId="0" borderId="39" xfId="2" applyNumberFormat="1" applyFont="1" applyFill="1" applyBorder="1" applyAlignment="1" applyProtection="1">
      <alignment horizontal="center"/>
      <protection hidden="1"/>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133"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40" fillId="0" borderId="0" xfId="0" applyFont="1" applyFill="1" applyAlignment="1" applyProtection="1">
      <alignment horizontal="center" vertical="center"/>
      <protection hidden="1"/>
    </xf>
    <xf numFmtId="49" fontId="33" fillId="0" borderId="67" xfId="0" applyNumberFormat="1" applyFont="1" applyBorder="1" applyAlignment="1" applyProtection="1">
      <alignment horizontal="left" vertical="center"/>
      <protection hidden="1"/>
    </xf>
    <xf numFmtId="49" fontId="33" fillId="0" borderId="0" xfId="0" applyNumberFormat="1" applyFont="1" applyAlignment="1" applyProtection="1">
      <alignment horizontal="left" vertical="center"/>
      <protection hidden="1"/>
    </xf>
    <xf numFmtId="0" fontId="23" fillId="0" borderId="0" xfId="0" applyFont="1" applyFill="1" applyAlignment="1">
      <alignment horizontal="left"/>
    </xf>
    <xf numFmtId="0" fontId="5" fillId="8" borderId="62" xfId="0" applyFont="1" applyFill="1" applyBorder="1" applyAlignment="1" applyProtection="1">
      <alignment horizontal="center" vertical="center" wrapText="1"/>
      <protection hidden="1"/>
    </xf>
    <xf numFmtId="0" fontId="5" fillId="8" borderId="134" xfId="0" applyFont="1" applyFill="1" applyBorder="1" applyAlignment="1" applyProtection="1">
      <alignment horizontal="center" vertical="center" wrapText="1"/>
      <protection hidden="1"/>
    </xf>
    <xf numFmtId="0" fontId="5" fillId="0" borderId="64"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0" borderId="64"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xf numFmtId="0" fontId="41" fillId="0" borderId="0" xfId="0" applyFont="1" applyAlignment="1" applyProtection="1">
      <alignment horizontal="left" vertical="center" wrapText="1"/>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275020</xdr:colOff>
      <xdr:row>0</xdr:row>
      <xdr:rowOff>0</xdr:rowOff>
    </xdr:from>
    <xdr:ext cx="4433742" cy="1395092"/>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8197072" y="0"/>
          <a:ext cx="4568727" cy="1395092"/>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900" b="1" u="sng" baseline="0">
              <a:solidFill>
                <a:schemeClr val="bg1"/>
              </a:solidFill>
              <a:latin typeface="Arial" pitchFamily="34" charset="0"/>
              <a:cs typeface="Arial" pitchFamily="34" charset="0"/>
            </a:rPr>
            <a:t>Les cases en bleu sont modifiables </a:t>
          </a:r>
        </a:p>
        <a:p>
          <a:pPr marL="0" marR="0" indent="0" defTabSz="914400" eaLnBrk="1" fontAlgn="auto" latinLnBrk="0" hangingPunct="1">
            <a:lnSpc>
              <a:spcPct val="100000"/>
            </a:lnSpc>
            <a:spcBef>
              <a:spcPts val="0"/>
            </a:spcBef>
            <a:spcAft>
              <a:spcPts val="0"/>
            </a:spcAft>
            <a:buClrTx/>
            <a:buSzTx/>
            <a:buFontTx/>
            <a:buNone/>
            <a:tabLst/>
            <a:defRPr/>
          </a:pPr>
          <a:endParaRPr lang="fr-FR" sz="900" b="1" u="none"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900" b="1" u="none" baseline="0">
              <a:solidFill>
                <a:schemeClr val="bg1"/>
              </a:solidFill>
              <a:latin typeface="Arial" pitchFamily="34" charset="0"/>
              <a:cs typeface="Arial" pitchFamily="34" charset="0"/>
            </a:rPr>
            <a:t>IMPORTANT !</a:t>
          </a:r>
          <a:endParaRPr lang="fr-FR" sz="900" b="1" u="dbl" baseline="0">
            <a:solidFill>
              <a:schemeClr val="bg1"/>
            </a:solidFill>
            <a:latin typeface="Arial" pitchFamily="34" charset="0"/>
            <a:cs typeface="Arial" pitchFamily="34" charset="0"/>
          </a:endParaRPr>
        </a:p>
        <a:p>
          <a:r>
            <a:rPr lang="fr-FR" sz="900" b="1" baseline="0">
              <a:solidFill>
                <a:schemeClr val="bg1"/>
              </a:solidFill>
              <a:latin typeface="Times New Roman"/>
              <a:cs typeface="Times New Roman"/>
            </a:rPr>
            <a:t>▪ </a:t>
          </a:r>
          <a:r>
            <a:rPr lang="fr-FR" sz="900" b="1" baseline="0">
              <a:solidFill>
                <a:schemeClr val="bg1"/>
              </a:solidFill>
              <a:latin typeface="Arial" pitchFamily="34" charset="0"/>
              <a:cs typeface="Arial" pitchFamily="34" charset="0"/>
            </a:rPr>
            <a:t>Le salaire horaire minimum  </a:t>
          </a:r>
          <a:r>
            <a:rPr lang="fr-FR" sz="900" b="1" u="none" baseline="0">
              <a:solidFill>
                <a:schemeClr val="bg1"/>
              </a:solidFill>
              <a:latin typeface="Arial" pitchFamily="34" charset="0"/>
              <a:cs typeface="Arial" pitchFamily="34" charset="0"/>
            </a:rPr>
            <a:t>: 10,88 euros brut </a:t>
          </a:r>
          <a:r>
            <a:rPr lang="fr-FR" sz="900" b="1" baseline="0">
              <a:solidFill>
                <a:schemeClr val="bg1"/>
              </a:solidFill>
              <a:latin typeface="Arial" pitchFamily="34" charset="0"/>
              <a:cs typeface="Arial" pitchFamily="34" charset="0"/>
            </a:rPr>
            <a:t>pour  :  </a:t>
          </a:r>
        </a:p>
        <a:p>
          <a:r>
            <a:rPr lang="fr-FR" sz="900" b="1">
              <a:solidFill>
                <a:schemeClr val="bg1"/>
              </a:solidFill>
              <a:latin typeface="Arial" pitchFamily="34" charset="0"/>
              <a:cs typeface="Arial" pitchFamily="34" charset="0"/>
            </a:rPr>
            <a:t>Une garde d'enfant(s) à domicile A ou</a:t>
          </a:r>
          <a:r>
            <a:rPr lang="fr-FR" sz="900" b="1" baseline="0">
              <a:solidFill>
                <a:schemeClr val="bg1"/>
              </a:solidFill>
              <a:latin typeface="Arial" pitchFamily="34" charset="0"/>
              <a:cs typeface="Arial" pitchFamily="34" charset="0"/>
            </a:rPr>
            <a:t> B</a:t>
          </a:r>
        </a:p>
        <a:p>
          <a:r>
            <a:rPr lang="fr-FR" sz="900" b="1" baseline="0">
              <a:solidFill>
                <a:schemeClr val="bg1"/>
              </a:solidFill>
              <a:latin typeface="Arial" pitchFamily="34" charset="0"/>
              <a:cs typeface="Arial" pitchFamily="34" charset="0"/>
            </a:rPr>
            <a:t>Une employée familiale auprès d'enfants</a:t>
          </a:r>
        </a:p>
        <a:p>
          <a:endParaRPr lang="fr-FR" sz="90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900" b="1" i="0" u="none" strike="noStrike" kern="0" cap="none" spc="0" normalizeH="0" baseline="0" noProof="0">
              <a:ln>
                <a:noFill/>
              </a:ln>
              <a:solidFill>
                <a:prstClr val="white"/>
              </a:solidFill>
              <a:effectLst/>
              <a:uLnTx/>
              <a:uFillTx/>
              <a:latin typeface="Times New Roman"/>
              <a:ea typeface="+mn-ea"/>
              <a:cs typeface="Times New Roman"/>
            </a:rPr>
            <a:t>▪ </a:t>
          </a:r>
          <a:r>
            <a:rPr lang="fr-FR" sz="900" b="1" baseline="0">
              <a:solidFill>
                <a:schemeClr val="bg1"/>
              </a:solidFill>
              <a:latin typeface="Arial" pitchFamily="34" charset="0"/>
              <a:cs typeface="Arial" pitchFamily="34" charset="0"/>
            </a:rPr>
            <a:t>Salaire minimum  d'une baby-sitter au 1er juillet 2022 : 10,85</a:t>
          </a:r>
        </a:p>
        <a:p>
          <a:pPr marL="0" marR="0" indent="0" defTabSz="914400" eaLnBrk="1" fontAlgn="auto" latinLnBrk="0" hangingPunct="1">
            <a:lnSpc>
              <a:spcPct val="100000"/>
            </a:lnSpc>
            <a:spcBef>
              <a:spcPts val="0"/>
            </a:spcBef>
            <a:spcAft>
              <a:spcPts val="0"/>
            </a:spcAft>
            <a:buClrTx/>
            <a:buSzTx/>
            <a:buFontTx/>
            <a:buNone/>
            <a:tabLst/>
            <a:defRPr/>
          </a:pPr>
          <a:r>
            <a:rPr lang="fr-FR" sz="900" b="1" baseline="0">
              <a:solidFill>
                <a:schemeClr val="bg1"/>
              </a:solidFill>
              <a:latin typeface="Arial" pitchFamily="34" charset="0"/>
              <a:cs typeface="Arial" pitchFamily="34" charset="0"/>
            </a:rPr>
            <a:t>euros bru</a:t>
          </a:r>
          <a:r>
            <a:rPr lang="fr-FR" sz="850" b="1" baseline="0">
              <a:solidFill>
                <a:schemeClr val="bg1"/>
              </a:solidFill>
              <a:latin typeface="Arial" pitchFamily="34" charset="0"/>
              <a:cs typeface="Arial" pitchFamily="34" charset="0"/>
            </a:rPr>
            <a:t>t </a:t>
          </a:r>
          <a:endParaRPr lang="fr-FR" sz="850" b="1">
            <a:solidFill>
              <a:schemeClr val="bg1"/>
            </a:solidFill>
            <a:latin typeface="Arial" pitchFamily="34" charset="0"/>
            <a:cs typeface="Arial" pitchFamily="34" charset="0"/>
          </a:endParaRPr>
        </a:p>
      </xdr:txBody>
    </xdr:sp>
    <xdr:clientData/>
  </xdr:oneCellAnchor>
  <xdr:oneCellAnchor>
    <xdr:from>
      <xdr:col>9</xdr:col>
      <xdr:colOff>351334</xdr:colOff>
      <xdr:row>0</xdr:row>
      <xdr:rowOff>99422</xdr:rowOff>
    </xdr:from>
    <xdr:ext cx="184731" cy="264560"/>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9511899" y="994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H45"/>
  <sheetViews>
    <sheetView showGridLines="0" showRowColHeaders="0" zoomScale="120" zoomScaleNormal="120" workbookViewId="0">
      <selection activeCell="H1" sqref="H1"/>
    </sheetView>
  </sheetViews>
  <sheetFormatPr baseColWidth="10" defaultColWidth="11.453125" defaultRowHeight="11.5" x14ac:dyDescent="0.25"/>
  <cols>
    <col min="1" max="1" width="24.7265625" style="1" customWidth="1"/>
    <col min="2" max="3" width="15.1796875" style="1" customWidth="1"/>
    <col min="4" max="4" width="20.81640625" style="1" customWidth="1"/>
    <col min="5" max="5" width="14.26953125" style="1" customWidth="1"/>
    <col min="6" max="6" width="15.7265625" style="1" customWidth="1"/>
    <col min="7" max="7" width="19.54296875" style="1" bestFit="1" customWidth="1"/>
    <col min="8" max="16384" width="11.453125" style="1"/>
  </cols>
  <sheetData>
    <row r="1" spans="1:8" x14ac:dyDescent="0.25">
      <c r="A1" s="486" t="s">
        <v>92</v>
      </c>
      <c r="B1" s="486"/>
      <c r="C1" s="486"/>
      <c r="D1" s="486"/>
      <c r="E1" s="486"/>
      <c r="F1" s="486"/>
      <c r="G1" s="272" t="s">
        <v>70</v>
      </c>
      <c r="H1" s="257">
        <v>44682</v>
      </c>
    </row>
    <row r="2" spans="1:8" x14ac:dyDescent="0.25">
      <c r="A2" s="236"/>
      <c r="B2" s="237"/>
      <c r="C2" s="237"/>
      <c r="D2" s="235"/>
      <c r="E2" s="235"/>
      <c r="F2" s="235"/>
      <c r="G2" s="235"/>
      <c r="H2" s="258"/>
    </row>
    <row r="3" spans="1:8" x14ac:dyDescent="0.25">
      <c r="A3" s="236"/>
      <c r="B3" s="237"/>
      <c r="C3" s="237"/>
      <c r="D3" s="235"/>
      <c r="E3" s="235"/>
      <c r="F3" s="235"/>
      <c r="G3" s="235"/>
      <c r="H3" s="258"/>
    </row>
    <row r="4" spans="1:8" x14ac:dyDescent="0.25">
      <c r="A4" s="238"/>
      <c r="B4" s="239"/>
      <c r="C4" s="240"/>
      <c r="D4" s="241"/>
      <c r="E4" s="241"/>
      <c r="F4" s="241"/>
      <c r="G4" s="241"/>
      <c r="H4" s="258"/>
    </row>
    <row r="5" spans="1:8" x14ac:dyDescent="0.25">
      <c r="A5" s="241"/>
      <c r="B5" s="239"/>
      <c r="C5" s="240"/>
      <c r="D5" s="237"/>
      <c r="E5" s="239"/>
      <c r="F5" s="241"/>
      <c r="G5" s="242"/>
      <c r="H5" s="258"/>
    </row>
    <row r="6" spans="1:8" x14ac:dyDescent="0.25">
      <c r="A6" s="243"/>
      <c r="B6" s="244"/>
      <c r="C6" s="240"/>
      <c r="D6" s="237"/>
      <c r="E6" s="245"/>
      <c r="F6" s="241"/>
      <c r="G6" s="241"/>
      <c r="H6" s="258"/>
    </row>
    <row r="7" spans="1:8" x14ac:dyDescent="0.25">
      <c r="A7" s="241" t="s">
        <v>24</v>
      </c>
      <c r="B7" s="246" t="s">
        <v>34</v>
      </c>
      <c r="C7" s="247">
        <v>463</v>
      </c>
      <c r="D7" s="248" t="s">
        <v>35</v>
      </c>
      <c r="E7" s="239">
        <v>232</v>
      </c>
      <c r="F7" s="241"/>
      <c r="G7" s="241"/>
      <c r="H7" s="258"/>
    </row>
    <row r="8" spans="1:8" x14ac:dyDescent="0.25">
      <c r="A8" s="241"/>
      <c r="B8" s="241"/>
      <c r="C8" s="241"/>
      <c r="D8" s="466"/>
      <c r="E8" s="241"/>
      <c r="F8" s="235"/>
      <c r="G8" s="461"/>
      <c r="H8" s="462"/>
    </row>
    <row r="9" spans="1:8" x14ac:dyDescent="0.25">
      <c r="A9" s="239" t="s">
        <v>9</v>
      </c>
      <c r="B9" s="239" t="s">
        <v>10</v>
      </c>
      <c r="C9" s="239" t="s">
        <v>11</v>
      </c>
      <c r="D9" s="467" t="s">
        <v>81</v>
      </c>
      <c r="E9" s="239" t="s">
        <v>27</v>
      </c>
      <c r="F9" s="239" t="s">
        <v>26</v>
      </c>
      <c r="G9" s="460" t="s">
        <v>37</v>
      </c>
      <c r="H9" s="463" t="s">
        <v>146</v>
      </c>
    </row>
    <row r="10" spans="1:8" x14ac:dyDescent="0.25">
      <c r="A10" s="249">
        <v>21320</v>
      </c>
      <c r="B10" s="249">
        <v>24346</v>
      </c>
      <c r="C10" s="250">
        <v>27372</v>
      </c>
      <c r="D10" s="468">
        <v>30398</v>
      </c>
      <c r="E10" s="239">
        <v>479.17</v>
      </c>
      <c r="F10" s="247">
        <v>239.58</v>
      </c>
      <c r="G10" s="202">
        <v>876.18</v>
      </c>
      <c r="H10" s="260">
        <v>438.09</v>
      </c>
    </row>
    <row r="11" spans="1:8" x14ac:dyDescent="0.25">
      <c r="A11" s="239" t="s">
        <v>153</v>
      </c>
      <c r="B11" s="239" t="s">
        <v>154</v>
      </c>
      <c r="C11" s="247" t="s">
        <v>155</v>
      </c>
      <c r="D11" s="469" t="s">
        <v>156</v>
      </c>
      <c r="E11" s="239">
        <v>302.14999999999998</v>
      </c>
      <c r="F11" s="239">
        <v>151.1</v>
      </c>
      <c r="G11" s="202">
        <v>755.3</v>
      </c>
      <c r="H11" s="463">
        <v>377.66</v>
      </c>
    </row>
    <row r="12" spans="1:8" ht="12" thickBot="1" x14ac:dyDescent="0.3">
      <c r="A12" s="251">
        <v>47377</v>
      </c>
      <c r="B12" s="251">
        <v>54102</v>
      </c>
      <c r="C12" s="252">
        <v>60827</v>
      </c>
      <c r="D12" s="470">
        <v>67552</v>
      </c>
      <c r="E12" s="253">
        <v>181.26</v>
      </c>
      <c r="F12" s="253">
        <v>90.64</v>
      </c>
      <c r="G12" s="207">
        <v>634.46</v>
      </c>
      <c r="H12" s="464">
        <v>317.23</v>
      </c>
    </row>
    <row r="13" spans="1:8" ht="12" thickTop="1" x14ac:dyDescent="0.25">
      <c r="A13" s="215"/>
      <c r="B13" s="215"/>
      <c r="C13" s="215"/>
      <c r="D13" s="215"/>
      <c r="E13" s="215"/>
      <c r="F13" s="215"/>
      <c r="G13" s="215"/>
      <c r="H13" s="259"/>
    </row>
    <row r="14" spans="1:8" x14ac:dyDescent="0.25">
      <c r="A14" s="217"/>
      <c r="B14" s="205"/>
      <c r="C14" s="205"/>
      <c r="D14" s="205"/>
      <c r="E14" s="205"/>
      <c r="F14" s="205"/>
      <c r="G14" s="202"/>
      <c r="H14" s="260"/>
    </row>
    <row r="15" spans="1:8" x14ac:dyDescent="0.25">
      <c r="A15" s="488"/>
      <c r="B15" s="488"/>
      <c r="C15" s="488"/>
      <c r="D15" s="488"/>
      <c r="E15" s="488"/>
      <c r="F15" s="488"/>
      <c r="G15" s="202"/>
      <c r="H15" s="260"/>
    </row>
    <row r="16" spans="1:8" x14ac:dyDescent="0.25">
      <c r="A16" s="204"/>
      <c r="B16" s="204"/>
      <c r="C16" s="204"/>
      <c r="D16" s="204"/>
      <c r="E16" s="204"/>
      <c r="F16" s="204"/>
      <c r="G16" s="202"/>
      <c r="H16" s="260"/>
    </row>
    <row r="17" spans="1:8" x14ac:dyDescent="0.25">
      <c r="A17" s="204"/>
      <c r="B17" s="204"/>
      <c r="C17" s="204"/>
      <c r="D17" s="204"/>
      <c r="E17" s="204"/>
      <c r="F17" s="204"/>
      <c r="G17" s="202"/>
      <c r="H17" s="260"/>
    </row>
    <row r="18" spans="1:8" x14ac:dyDescent="0.25">
      <c r="A18" s="204"/>
      <c r="B18" s="204"/>
      <c r="C18" s="204"/>
      <c r="D18" s="204"/>
      <c r="E18" s="204"/>
      <c r="F18" s="204"/>
      <c r="G18" s="202"/>
      <c r="H18" s="260"/>
    </row>
    <row r="19" spans="1:8" x14ac:dyDescent="0.25">
      <c r="A19" s="205"/>
      <c r="B19" s="205"/>
      <c r="C19" s="205"/>
      <c r="D19" s="205"/>
      <c r="E19" s="205"/>
      <c r="F19" s="205"/>
      <c r="G19" s="202"/>
      <c r="H19" s="260"/>
    </row>
    <row r="20" spans="1:8" x14ac:dyDescent="0.25">
      <c r="A20" s="217" t="s">
        <v>144</v>
      </c>
      <c r="B20" s="205"/>
      <c r="C20" s="205"/>
      <c r="D20" s="205"/>
      <c r="E20" s="205"/>
      <c r="F20" s="205"/>
      <c r="G20" s="202"/>
      <c r="H20" s="260"/>
    </row>
    <row r="21" spans="1:8" x14ac:dyDescent="0.25">
      <c r="A21" s="205" t="s">
        <v>29</v>
      </c>
      <c r="B21" s="205"/>
      <c r="C21" s="205"/>
      <c r="D21" s="202"/>
      <c r="E21" s="202"/>
      <c r="F21" s="205">
        <v>13500</v>
      </c>
      <c r="G21" s="202"/>
      <c r="H21" s="260"/>
    </row>
    <row r="22" spans="1:8" x14ac:dyDescent="0.25">
      <c r="A22" s="205" t="s">
        <v>30</v>
      </c>
      <c r="B22" s="205"/>
      <c r="C22" s="205"/>
      <c r="D22" s="202"/>
      <c r="E22" s="202"/>
      <c r="F22" s="205">
        <v>15000</v>
      </c>
      <c r="G22" s="202"/>
      <c r="H22" s="260"/>
    </row>
    <row r="23" spans="1:8" ht="12" thickBot="1" x14ac:dyDescent="0.3">
      <c r="A23" s="208" t="s">
        <v>38</v>
      </c>
      <c r="B23" s="208"/>
      <c r="C23" s="208">
        <v>20</v>
      </c>
      <c r="D23" s="207"/>
      <c r="E23" s="207"/>
      <c r="F23" s="208"/>
      <c r="G23" s="207"/>
      <c r="H23" s="261"/>
    </row>
    <row r="24" spans="1:8" ht="12" thickTop="1" x14ac:dyDescent="0.25">
      <c r="A24" s="218"/>
      <c r="B24" s="218"/>
      <c r="C24" s="218"/>
      <c r="D24" s="218"/>
      <c r="E24" s="218"/>
      <c r="F24" s="218"/>
      <c r="G24" s="218"/>
      <c r="H24" s="262"/>
    </row>
    <row r="25" spans="1:8" x14ac:dyDescent="0.25">
      <c r="A25" s="487" t="s">
        <v>13</v>
      </c>
      <c r="B25" s="487"/>
      <c r="C25" s="487"/>
      <c r="D25" s="487"/>
      <c r="E25" s="487"/>
      <c r="F25" s="487"/>
      <c r="G25" s="209"/>
      <c r="H25" s="263"/>
    </row>
    <row r="26" spans="1:8" x14ac:dyDescent="0.25">
      <c r="A26" s="219"/>
      <c r="B26" s="219"/>
      <c r="C26" s="219"/>
      <c r="D26" s="219"/>
      <c r="E26" s="219"/>
      <c r="F26" s="219"/>
      <c r="G26" s="209"/>
      <c r="H26" s="263"/>
    </row>
    <row r="27" spans="1:8" s="2" customFormat="1" x14ac:dyDescent="0.25">
      <c r="A27" s="210" t="s">
        <v>31</v>
      </c>
      <c r="B27" s="210"/>
      <c r="C27" s="220">
        <v>2300</v>
      </c>
      <c r="D27" s="210"/>
      <c r="E27" s="221"/>
      <c r="F27" s="209"/>
      <c r="G27" s="209"/>
      <c r="H27" s="263"/>
    </row>
    <row r="28" spans="1:8" s="2" customFormat="1" x14ac:dyDescent="0.25">
      <c r="A28" s="210" t="s">
        <v>142</v>
      </c>
      <c r="B28" s="210"/>
      <c r="C28" s="220">
        <v>3.47</v>
      </c>
      <c r="D28" s="210"/>
      <c r="E28" s="222"/>
      <c r="F28" s="209"/>
      <c r="G28" s="209"/>
      <c r="H28" s="263"/>
    </row>
    <row r="29" spans="1:8" s="2" customFormat="1" x14ac:dyDescent="0.25">
      <c r="A29" s="210" t="s">
        <v>14</v>
      </c>
      <c r="B29" s="210"/>
      <c r="C29" s="220">
        <v>22</v>
      </c>
      <c r="D29" s="209"/>
      <c r="E29" s="209"/>
      <c r="F29" s="209"/>
      <c r="G29" s="209"/>
      <c r="H29" s="263"/>
    </row>
    <row r="30" spans="1:8" s="2" customFormat="1" x14ac:dyDescent="0.25">
      <c r="A30" s="210" t="s">
        <v>15</v>
      </c>
      <c r="B30" s="210"/>
      <c r="C30" s="220">
        <f>C33*5</f>
        <v>54.25</v>
      </c>
      <c r="D30" s="212"/>
      <c r="E30" s="211"/>
      <c r="F30" s="209"/>
      <c r="G30" s="209"/>
      <c r="H30" s="263"/>
    </row>
    <row r="31" spans="1:8" s="2" customFormat="1" x14ac:dyDescent="0.25">
      <c r="A31" s="210" t="s">
        <v>139</v>
      </c>
      <c r="B31" s="210"/>
      <c r="C31" s="220">
        <v>42.33</v>
      </c>
      <c r="D31" s="209"/>
      <c r="E31" s="209"/>
      <c r="F31" s="209"/>
      <c r="G31" s="209"/>
      <c r="H31" s="263"/>
    </row>
    <row r="32" spans="1:8" x14ac:dyDescent="0.25">
      <c r="A32" s="210"/>
      <c r="B32" s="210"/>
      <c r="C32" s="223"/>
      <c r="D32" s="209"/>
      <c r="E32" s="209"/>
      <c r="F32" s="209"/>
      <c r="G32" s="209"/>
      <c r="H32" s="263"/>
    </row>
    <row r="33" spans="1:8" x14ac:dyDescent="0.25">
      <c r="A33" s="210" t="s">
        <v>16</v>
      </c>
      <c r="B33" s="210"/>
      <c r="C33" s="224">
        <v>10.85</v>
      </c>
      <c r="D33" s="209"/>
      <c r="E33" s="209"/>
      <c r="F33" s="209"/>
      <c r="G33" s="209"/>
      <c r="H33" s="263"/>
    </row>
    <row r="34" spans="1:8" ht="12" thickBot="1" x14ac:dyDescent="0.3">
      <c r="A34" s="214" t="s">
        <v>143</v>
      </c>
      <c r="B34" s="214"/>
      <c r="C34" s="225">
        <v>10.85</v>
      </c>
      <c r="D34" s="213"/>
      <c r="E34" s="213"/>
      <c r="F34" s="213"/>
      <c r="G34" s="213"/>
      <c r="H34" s="264"/>
    </row>
    <row r="35" spans="1:8" ht="12" thickTop="1" x14ac:dyDescent="0.25">
      <c r="A35" s="215"/>
      <c r="B35" s="215"/>
      <c r="C35" s="226"/>
      <c r="D35" s="216"/>
      <c r="E35" s="216"/>
      <c r="F35" s="216"/>
      <c r="G35" s="227"/>
      <c r="H35" s="265"/>
    </row>
    <row r="36" spans="1:8" ht="23" x14ac:dyDescent="0.25">
      <c r="A36" s="228" t="s">
        <v>145</v>
      </c>
      <c r="B36" s="229" t="s">
        <v>105</v>
      </c>
      <c r="C36" s="229" t="s">
        <v>106</v>
      </c>
      <c r="D36" s="230" t="s">
        <v>36</v>
      </c>
      <c r="E36" s="230" t="s">
        <v>28</v>
      </c>
      <c r="F36" s="275" t="s">
        <v>152</v>
      </c>
      <c r="G36" s="231"/>
      <c r="H36" s="266"/>
    </row>
    <row r="37" spans="1:8" x14ac:dyDescent="0.25">
      <c r="A37" s="203" t="s">
        <v>19</v>
      </c>
      <c r="B37" s="206">
        <v>43.94</v>
      </c>
      <c r="C37" s="206">
        <v>4.38</v>
      </c>
      <c r="D37" s="206">
        <v>6.1500000000000001E-3</v>
      </c>
      <c r="E37" s="206"/>
      <c r="F37" s="465">
        <v>711.62</v>
      </c>
      <c r="G37" s="202"/>
      <c r="H37" s="260"/>
    </row>
    <row r="38" spans="1:8" x14ac:dyDescent="0.25">
      <c r="A38" s="203" t="s">
        <v>20</v>
      </c>
      <c r="B38" s="206">
        <v>36.58</v>
      </c>
      <c r="C38" s="206">
        <v>3.64</v>
      </c>
      <c r="D38" s="206">
        <v>5.1200000000000004E-3</v>
      </c>
      <c r="E38" s="206"/>
      <c r="F38" s="202"/>
      <c r="G38" s="202"/>
      <c r="H38" s="260"/>
    </row>
    <row r="39" spans="1:8" x14ac:dyDescent="0.25">
      <c r="A39" s="203" t="s">
        <v>21</v>
      </c>
      <c r="B39" s="206">
        <v>29.28</v>
      </c>
      <c r="C39" s="206">
        <v>2.92</v>
      </c>
      <c r="D39" s="206">
        <v>4.1000000000000003E-3</v>
      </c>
      <c r="E39" s="206"/>
      <c r="F39" s="202"/>
      <c r="G39" s="202"/>
      <c r="H39" s="260"/>
    </row>
    <row r="40" spans="1:8" x14ac:dyDescent="0.25">
      <c r="A40" s="203" t="s">
        <v>22</v>
      </c>
      <c r="B40" s="206">
        <v>21.94</v>
      </c>
      <c r="C40" s="206">
        <v>2.1800000000000002</v>
      </c>
      <c r="D40" s="206">
        <v>3.0699999999999998E-3</v>
      </c>
      <c r="E40" s="206"/>
      <c r="F40" s="202"/>
      <c r="G40" s="202"/>
      <c r="H40" s="260"/>
    </row>
    <row r="41" spans="1:8" x14ac:dyDescent="0.25">
      <c r="A41" s="231"/>
      <c r="B41" s="231"/>
      <c r="C41" s="231"/>
      <c r="D41" s="232"/>
      <c r="E41" s="231"/>
      <c r="F41" s="231"/>
      <c r="G41" s="231"/>
      <c r="H41" s="266"/>
    </row>
    <row r="42" spans="1:8" x14ac:dyDescent="0.25">
      <c r="A42" s="233"/>
      <c r="B42" s="231"/>
      <c r="C42" s="231"/>
      <c r="D42" s="234"/>
      <c r="E42" s="231"/>
      <c r="F42" s="231"/>
      <c r="G42" s="231"/>
      <c r="H42" s="266"/>
    </row>
    <row r="43" spans="1:8" ht="12.5" thickBot="1" x14ac:dyDescent="0.35">
      <c r="A43" s="267" t="s">
        <v>107</v>
      </c>
      <c r="B43" s="268"/>
      <c r="C43" s="269"/>
      <c r="D43" s="270"/>
      <c r="E43" s="269"/>
      <c r="F43" s="269"/>
      <c r="G43" s="269"/>
      <c r="H43" s="271"/>
    </row>
    <row r="44" spans="1:8" ht="12" thickTop="1" x14ac:dyDescent="0.25">
      <c r="D44" s="3"/>
    </row>
    <row r="45" spans="1:8" x14ac:dyDescent="0.25">
      <c r="D45" s="3"/>
    </row>
  </sheetData>
  <sheetProtection algorithmName="SHA-512" hashValue="7JFM2Fm2KEYItDVGhEZsxLMgI0+JF1JCLPLIAncAJ/vd31lNVqwISmgJZeZHXSSU//040nO1vHQNWEXOyWndJQ==" saltValue="pXPj0fFyYA6b7zyM5fHFWw==" spinCount="100000"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90"/>
  <sheetViews>
    <sheetView showOutlineSymbols="0" defaultGridColor="0" topLeftCell="A20" colorId="8" workbookViewId="0">
      <selection activeCell="E36" sqref="E36"/>
    </sheetView>
  </sheetViews>
  <sheetFormatPr baseColWidth="10" defaultColWidth="11.453125" defaultRowHeight="11" x14ac:dyDescent="0.25"/>
  <cols>
    <col min="1" max="1" width="2.54296875" style="7" customWidth="1"/>
    <col min="2" max="2" width="19.81640625" style="7" customWidth="1"/>
    <col min="3" max="3" width="12.1796875" style="7" customWidth="1"/>
    <col min="4" max="4" width="13.81640625" style="7" customWidth="1"/>
    <col min="5" max="6" width="9.7265625" style="7" customWidth="1"/>
    <col min="7" max="7" width="1.26953125" style="7" customWidth="1"/>
    <col min="8" max="9" width="9.453125" style="7" customWidth="1"/>
    <col min="10" max="10" width="0.81640625" style="7" customWidth="1"/>
    <col min="11" max="11" width="10.7265625" style="7" customWidth="1"/>
    <col min="12" max="12" width="3.26953125" style="7" customWidth="1"/>
    <col min="13" max="13" width="17.7265625" style="7" customWidth="1"/>
    <col min="14" max="16384" width="11.453125" style="7"/>
  </cols>
  <sheetData>
    <row r="1" spans="1:15" x14ac:dyDescent="0.25">
      <c r="E1" s="23"/>
    </row>
    <row r="2" spans="1:15" x14ac:dyDescent="0.25">
      <c r="B2" s="58" t="s">
        <v>56</v>
      </c>
      <c r="C2" s="60"/>
      <c r="D2" s="60"/>
      <c r="E2" s="59"/>
      <c r="F2" s="4"/>
      <c r="G2" s="4"/>
      <c r="H2" s="4" t="s">
        <v>60</v>
      </c>
      <c r="I2" s="4"/>
      <c r="J2" s="4"/>
      <c r="K2" s="5"/>
      <c r="L2" s="6"/>
    </row>
    <row r="3" spans="1:15" x14ac:dyDescent="0.25">
      <c r="B3" s="61" t="s">
        <v>62</v>
      </c>
      <c r="C3" s="62"/>
      <c r="D3" s="62"/>
      <c r="E3" s="135">
        <f>Simulateur!D2</f>
        <v>1</v>
      </c>
      <c r="F3" s="9" t="s">
        <v>51</v>
      </c>
      <c r="G3" s="4"/>
      <c r="H3" s="8" t="s">
        <v>66</v>
      </c>
      <c r="I3" s="4"/>
      <c r="J3" s="4"/>
      <c r="K3" s="5"/>
      <c r="L3" s="6"/>
    </row>
    <row r="4" spans="1:15" x14ac:dyDescent="0.25">
      <c r="B4" s="131" t="s">
        <v>63</v>
      </c>
      <c r="C4" s="132"/>
      <c r="D4" s="132"/>
      <c r="E4" s="136" t="str">
        <f>Simulateur!D3</f>
        <v>oui</v>
      </c>
      <c r="F4" s="9" t="s">
        <v>52</v>
      </c>
      <c r="G4" s="4"/>
      <c r="H4" s="10" t="s">
        <v>50</v>
      </c>
      <c r="I4" s="10"/>
      <c r="J4" s="10"/>
      <c r="K4" s="5"/>
      <c r="L4" s="6"/>
    </row>
    <row r="5" spans="1:15" x14ac:dyDescent="0.25">
      <c r="B5" s="494" t="s">
        <v>64</v>
      </c>
      <c r="C5" s="495"/>
      <c r="D5" s="495"/>
      <c r="E5" s="136" t="str">
        <f>Simulateur!D4</f>
        <v>oui</v>
      </c>
      <c r="F5" s="9"/>
      <c r="G5" s="4"/>
      <c r="H5" s="45"/>
      <c r="I5" s="10"/>
      <c r="J5" s="10"/>
      <c r="K5" s="5"/>
      <c r="L5" s="6"/>
    </row>
    <row r="6" spans="1:15" x14ac:dyDescent="0.25">
      <c r="B6" s="490" t="s">
        <v>80</v>
      </c>
      <c r="C6" s="491"/>
      <c r="D6" s="492"/>
      <c r="E6" s="136">
        <f>Simulateur!D5</f>
        <v>50132</v>
      </c>
      <c r="F6" s="12"/>
      <c r="G6" s="12"/>
      <c r="J6" s="13"/>
      <c r="K6" s="6"/>
      <c r="L6" s="6"/>
    </row>
    <row r="7" spans="1:15" x14ac:dyDescent="0.25">
      <c r="B7" s="490" t="s">
        <v>79</v>
      </c>
      <c r="C7" s="491"/>
      <c r="D7" s="492"/>
      <c r="E7" s="136">
        <f>Simulateur!D6</f>
        <v>45576</v>
      </c>
      <c r="F7" s="63"/>
      <c r="G7" s="6"/>
      <c r="J7" s="19"/>
      <c r="K7" s="46"/>
      <c r="N7" s="489"/>
      <c r="O7" s="489"/>
    </row>
    <row r="8" spans="1:15" x14ac:dyDescent="0.25">
      <c r="B8" s="133" t="s">
        <v>65</v>
      </c>
      <c r="C8" s="134"/>
      <c r="D8" s="134"/>
      <c r="E8" s="136" t="str">
        <f>Simulateur!D7</f>
        <v>oui</v>
      </c>
      <c r="F8" s="12"/>
      <c r="G8" s="12"/>
      <c r="J8" s="13"/>
      <c r="K8" s="6"/>
      <c r="N8" s="489"/>
      <c r="O8" s="489"/>
    </row>
    <row r="9" spans="1:15" x14ac:dyDescent="0.25">
      <c r="B9" s="494" t="s">
        <v>45</v>
      </c>
      <c r="C9" s="495"/>
      <c r="D9" s="495"/>
      <c r="E9" s="136">
        <f>Simulateur!D8</f>
        <v>4000</v>
      </c>
      <c r="F9" s="6"/>
      <c r="G9" s="6"/>
      <c r="J9" s="6"/>
      <c r="K9" s="6"/>
      <c r="N9" s="489"/>
      <c r="O9" s="489"/>
    </row>
    <row r="10" spans="1:15" x14ac:dyDescent="0.25">
      <c r="B10" s="137" t="s">
        <v>69</v>
      </c>
      <c r="C10" s="138"/>
      <c r="D10" s="138"/>
      <c r="E10" s="136" t="e">
        <f>Simulateur!#REF!</f>
        <v>#REF!</v>
      </c>
      <c r="F10" s="139"/>
      <c r="G10" s="140"/>
      <c r="H10" s="140"/>
      <c r="I10" s="140"/>
      <c r="J10" s="140"/>
      <c r="K10" s="140"/>
      <c r="N10" s="489"/>
      <c r="O10" s="489"/>
    </row>
    <row r="11" spans="1:15" x14ac:dyDescent="0.25">
      <c r="A11" s="18"/>
      <c r="B11" s="64"/>
      <c r="C11" s="16"/>
      <c r="D11" s="16"/>
      <c r="E11" s="17"/>
      <c r="F11" s="17"/>
      <c r="G11" s="17"/>
      <c r="H11" s="15"/>
      <c r="I11" s="15"/>
      <c r="J11" s="15"/>
      <c r="K11" s="15"/>
      <c r="M11" s="122"/>
    </row>
    <row r="12" spans="1:15" s="18" customFormat="1" ht="22" x14ac:dyDescent="0.25">
      <c r="B12" s="65"/>
      <c r="C12" s="20"/>
      <c r="D12" s="20"/>
      <c r="E12" s="496" t="s">
        <v>23</v>
      </c>
      <c r="F12" s="496"/>
      <c r="G12" s="14"/>
      <c r="H12" s="493" t="s">
        <v>68</v>
      </c>
      <c r="I12" s="493"/>
      <c r="J12" s="19"/>
      <c r="K12" s="21" t="s">
        <v>49</v>
      </c>
      <c r="M12" s="5"/>
    </row>
    <row r="13" spans="1:15" s="18" customFormat="1" ht="22" x14ac:dyDescent="0.25">
      <c r="A13" s="7"/>
      <c r="B13" s="65"/>
      <c r="C13" s="20"/>
      <c r="D13" s="20"/>
      <c r="E13" s="22" t="s">
        <v>47</v>
      </c>
      <c r="F13" s="22" t="s">
        <v>46</v>
      </c>
      <c r="G13" s="21"/>
      <c r="H13" s="22" t="s">
        <v>54</v>
      </c>
      <c r="I13" s="22" t="s">
        <v>55</v>
      </c>
      <c r="J13" s="21"/>
      <c r="K13" s="48" t="s">
        <v>48</v>
      </c>
    </row>
    <row r="14" spans="1:15" x14ac:dyDescent="0.25">
      <c r="B14" s="66" t="s">
        <v>53</v>
      </c>
      <c r="C14" s="12"/>
      <c r="D14" s="12"/>
      <c r="E14" s="42">
        <v>9.5299999999999994</v>
      </c>
      <c r="F14" s="42">
        <f>Simulateur!E12</f>
        <v>20</v>
      </c>
      <c r="G14" s="51"/>
      <c r="H14" s="42">
        <v>5.42</v>
      </c>
      <c r="I14" s="42">
        <v>48.8</v>
      </c>
      <c r="J14" s="67"/>
      <c r="K14" s="19"/>
    </row>
    <row r="15" spans="1:15" x14ac:dyDescent="0.25">
      <c r="B15" s="141" t="s">
        <v>17</v>
      </c>
      <c r="C15" s="142"/>
      <c r="D15" s="142"/>
      <c r="E15" s="143"/>
      <c r="F15" s="143"/>
      <c r="G15" s="24"/>
      <c r="H15" s="42">
        <f>Simulateur!G13</f>
        <v>22</v>
      </c>
      <c r="I15" s="42">
        <f>Simulateur!H13</f>
        <v>22</v>
      </c>
      <c r="J15" s="68"/>
      <c r="K15" s="69">
        <f>Simulateur!J13</f>
        <v>5</v>
      </c>
    </row>
    <row r="16" spans="1:15" x14ac:dyDescent="0.25">
      <c r="B16" s="141" t="s">
        <v>0</v>
      </c>
      <c r="C16" s="142"/>
      <c r="D16" s="142"/>
      <c r="E16" s="144">
        <v>174</v>
      </c>
      <c r="F16" s="144">
        <f>Simulateur!E14</f>
        <v>0</v>
      </c>
      <c r="G16" s="24"/>
      <c r="H16" s="24"/>
      <c r="I16" s="70"/>
      <c r="J16" s="19"/>
      <c r="K16" s="19"/>
    </row>
    <row r="17" spans="2:14" x14ac:dyDescent="0.25">
      <c r="B17" s="141" t="s">
        <v>1</v>
      </c>
      <c r="C17" s="142"/>
      <c r="D17" s="142"/>
      <c r="E17" s="144"/>
      <c r="F17" s="144">
        <f>Simulateur!E15</f>
        <v>0</v>
      </c>
      <c r="G17" s="24"/>
      <c r="H17" s="24"/>
      <c r="I17" s="70"/>
      <c r="J17" s="19"/>
      <c r="K17" s="19"/>
    </row>
    <row r="18" spans="2:14" x14ac:dyDescent="0.25">
      <c r="B18" s="117" t="s">
        <v>44</v>
      </c>
      <c r="C18" s="106"/>
      <c r="D18" s="106"/>
      <c r="E18" s="144">
        <f>Simulateur!D17</f>
        <v>0</v>
      </c>
      <c r="F18" s="24"/>
      <c r="G18" s="24"/>
      <c r="H18" s="24"/>
      <c r="I18" s="70"/>
      <c r="J18" s="19"/>
      <c r="K18" s="19"/>
    </row>
    <row r="19" spans="2:14" x14ac:dyDescent="0.25">
      <c r="B19" s="71" t="s">
        <v>2</v>
      </c>
      <c r="C19" s="72"/>
      <c r="D19" s="72"/>
      <c r="E19" s="26">
        <f>E14*E16+E17*E14*125%+E18</f>
        <v>1658.22</v>
      </c>
      <c r="F19" s="26">
        <f>F14*F16+F17*F14*125%</f>
        <v>0</v>
      </c>
      <c r="G19" s="27"/>
      <c r="H19" s="73">
        <f>H14*H15</f>
        <v>119.24</v>
      </c>
      <c r="I19" s="73">
        <f>I14*I15</f>
        <v>1073.5999999999999</v>
      </c>
      <c r="J19" s="74"/>
      <c r="K19" s="70"/>
    </row>
    <row r="20" spans="2:14" x14ac:dyDescent="0.25">
      <c r="B20" s="56" t="s">
        <v>57</v>
      </c>
      <c r="C20" s="55"/>
      <c r="D20" s="55"/>
      <c r="E20" s="25"/>
      <c r="F20" s="24"/>
      <c r="G20" s="24"/>
      <c r="H20" s="43">
        <f>Simulateur!G19</f>
        <v>0</v>
      </c>
      <c r="I20" s="43">
        <f>Simulateur!H19</f>
        <v>3.01</v>
      </c>
      <c r="J20" s="74"/>
      <c r="K20" s="70"/>
    </row>
    <row r="21" spans="2:14" x14ac:dyDescent="0.25">
      <c r="B21" s="61"/>
      <c r="C21" s="12"/>
      <c r="D21" s="12"/>
      <c r="E21" s="28"/>
      <c r="F21" s="28"/>
      <c r="G21" s="24"/>
      <c r="H21" s="75">
        <f>H14*H15*Feuil2!E27</f>
        <v>0</v>
      </c>
      <c r="I21" s="75">
        <f>I14*I15*Feuil2!E27</f>
        <v>0</v>
      </c>
      <c r="J21" s="76"/>
      <c r="K21" s="70"/>
      <c r="N21" s="7">
        <f>7.24*174</f>
        <v>1259.76</v>
      </c>
    </row>
    <row r="22" spans="2:14" x14ac:dyDescent="0.25">
      <c r="B22" s="61"/>
      <c r="C22" s="12"/>
      <c r="D22" s="12"/>
      <c r="E22" s="77"/>
      <c r="F22" s="28"/>
      <c r="G22" s="24"/>
      <c r="H22" s="28"/>
      <c r="I22" s="75"/>
      <c r="J22" s="76"/>
      <c r="K22" s="76"/>
      <c r="N22" s="7">
        <f>7.24*10*125%</f>
        <v>90.5</v>
      </c>
    </row>
    <row r="23" spans="2:14" x14ac:dyDescent="0.25">
      <c r="B23" s="61"/>
      <c r="C23" s="12"/>
      <c r="D23" s="12"/>
      <c r="E23" s="28"/>
      <c r="F23" s="28"/>
      <c r="G23" s="24"/>
      <c r="H23" s="75"/>
      <c r="I23" s="75"/>
      <c r="J23" s="76"/>
      <c r="K23" s="70"/>
      <c r="L23" s="23"/>
      <c r="N23" s="7">
        <f>SUM(N21:N22)</f>
        <v>1350.26</v>
      </c>
    </row>
    <row r="24" spans="2:14" x14ac:dyDescent="0.25">
      <c r="B24" s="61" t="s">
        <v>3</v>
      </c>
      <c r="C24" s="12"/>
      <c r="D24" s="12"/>
      <c r="E24" s="28">
        <f>E19*Feuil2!B4%</f>
        <v>0</v>
      </c>
      <c r="F24" s="28"/>
      <c r="G24" s="24"/>
      <c r="H24" s="75">
        <f>H19*Feuil2!$E$27</f>
        <v>0</v>
      </c>
      <c r="I24" s="75">
        <f>I19*Feuil2!$E$27</f>
        <v>0</v>
      </c>
      <c r="J24" s="76"/>
      <c r="K24" s="70"/>
    </row>
    <row r="25" spans="2:14" ht="14" x14ac:dyDescent="0.3">
      <c r="B25" s="56" t="s">
        <v>4</v>
      </c>
      <c r="C25" s="55"/>
      <c r="D25" s="55"/>
      <c r="E25" s="29">
        <f>E19*Feuil2!B5%</f>
        <v>0</v>
      </c>
      <c r="F25" s="28"/>
      <c r="G25" s="24"/>
      <c r="H25" s="78">
        <f>H14*H15*Feuil2!E28</f>
        <v>0</v>
      </c>
      <c r="I25" s="78">
        <f>I14*I15*Feuil2!E28</f>
        <v>0</v>
      </c>
      <c r="J25" s="76"/>
      <c r="K25" s="70"/>
      <c r="N25"/>
    </row>
    <row r="26" spans="2:14" ht="14" x14ac:dyDescent="0.3">
      <c r="B26" s="56" t="s">
        <v>25</v>
      </c>
      <c r="C26" s="55"/>
      <c r="D26" s="55"/>
      <c r="E26" s="128">
        <f>E19*Feuil2!B6%</f>
        <v>0</v>
      </c>
      <c r="F26" s="24"/>
      <c r="G26" s="24"/>
      <c r="H26" s="80">
        <f>H21+H25</f>
        <v>0</v>
      </c>
      <c r="I26" s="79">
        <f>I21+I25</f>
        <v>0</v>
      </c>
      <c r="J26" s="79"/>
      <c r="K26" s="19"/>
      <c r="M26" s="47"/>
      <c r="N26"/>
    </row>
    <row r="27" spans="2:14" ht="14" x14ac:dyDescent="0.3">
      <c r="B27" s="81"/>
      <c r="C27" s="82"/>
      <c r="D27" s="82"/>
      <c r="E27" s="30"/>
      <c r="F27" s="28"/>
      <c r="G27" s="24"/>
      <c r="H27" s="28"/>
      <c r="I27" s="83"/>
      <c r="J27" s="79"/>
      <c r="K27" s="19"/>
      <c r="N27"/>
    </row>
    <row r="28" spans="2:14" ht="14" x14ac:dyDescent="0.3">
      <c r="B28" s="84" t="s">
        <v>78</v>
      </c>
      <c r="C28" s="85"/>
      <c r="D28" s="85"/>
      <c r="E28" s="31">
        <f>E19-E24</f>
        <v>1658.22</v>
      </c>
      <c r="F28" s="32"/>
      <c r="G28" s="27"/>
      <c r="H28" s="86">
        <f>H19-H21+(H20*H15)</f>
        <v>119.24</v>
      </c>
      <c r="I28" s="86">
        <f>I19-I21+(I20*I15)</f>
        <v>1139.82</v>
      </c>
      <c r="J28" s="76"/>
      <c r="K28" s="70"/>
      <c r="N28"/>
    </row>
    <row r="29" spans="2:14" ht="14" x14ac:dyDescent="0.3">
      <c r="B29" s="84"/>
      <c r="C29" s="85"/>
      <c r="D29" s="85"/>
      <c r="E29" s="32"/>
      <c r="F29" s="32"/>
      <c r="G29" s="27"/>
      <c r="H29" s="129"/>
      <c r="I29" s="129"/>
      <c r="J29" s="87"/>
      <c r="K29" s="70"/>
      <c r="N29"/>
    </row>
    <row r="30" spans="2:14" ht="14" x14ac:dyDescent="0.3">
      <c r="B30" s="61" t="s">
        <v>12</v>
      </c>
      <c r="C30" s="12"/>
      <c r="D30" s="12"/>
      <c r="E30" s="42">
        <f>Simulateur!D29</f>
        <v>0</v>
      </c>
      <c r="F30" s="24"/>
      <c r="G30" s="24"/>
      <c r="H30" s="24"/>
      <c r="I30" s="70"/>
      <c r="J30" s="87"/>
      <c r="K30" s="70"/>
      <c r="N30"/>
    </row>
    <row r="31" spans="2:14" ht="14" x14ac:dyDescent="0.3">
      <c r="B31" s="71" t="s">
        <v>5</v>
      </c>
      <c r="C31" s="88"/>
      <c r="D31" s="88"/>
      <c r="E31" s="26">
        <f>E28+E30</f>
        <v>1658.22</v>
      </c>
      <c r="F31" s="27"/>
      <c r="G31" s="27"/>
      <c r="H31" s="89">
        <f>H28</f>
        <v>119.24</v>
      </c>
      <c r="I31" s="89">
        <f>I28</f>
        <v>1139.82</v>
      </c>
      <c r="J31" s="19"/>
      <c r="K31" s="70"/>
      <c r="N31" t="e">
        <f>1-(-E47/E26)</f>
        <v>#DIV/0!</v>
      </c>
    </row>
    <row r="32" spans="2:14" ht="14" x14ac:dyDescent="0.3">
      <c r="B32" s="57" t="s">
        <v>40</v>
      </c>
      <c r="C32" s="11"/>
      <c r="D32" s="11"/>
      <c r="E32" s="33">
        <f>E31+E26</f>
        <v>1658.22</v>
      </c>
      <c r="F32" s="28"/>
      <c r="G32" s="24"/>
      <c r="H32" s="90">
        <f>H31+H26</f>
        <v>119.24</v>
      </c>
      <c r="I32" s="90">
        <f>I31+I26</f>
        <v>1139.82</v>
      </c>
      <c r="J32" s="87"/>
      <c r="K32" s="70"/>
      <c r="N32" t="e">
        <f>N31*E39</f>
        <v>#DIV/0!</v>
      </c>
    </row>
    <row r="33" spans="2:14" ht="14" x14ac:dyDescent="0.3">
      <c r="B33" s="61"/>
      <c r="C33" s="12"/>
      <c r="D33" s="12"/>
      <c r="E33" s="28"/>
      <c r="F33" s="28"/>
      <c r="G33" s="24"/>
      <c r="H33" s="98"/>
      <c r="I33" s="98"/>
      <c r="J33" s="87"/>
      <c r="K33" s="70"/>
      <c r="N33"/>
    </row>
    <row r="34" spans="2:14" ht="14" x14ac:dyDescent="0.3">
      <c r="B34" s="61" t="s">
        <v>88</v>
      </c>
      <c r="C34" s="12"/>
      <c r="D34" s="12"/>
      <c r="E34" s="28">
        <f>Simulateur!D14*90%+Simulateur!D15</f>
        <v>156.6</v>
      </c>
      <c r="F34" s="28"/>
      <c r="G34" s="24"/>
      <c r="H34" s="98"/>
      <c r="I34" s="98"/>
      <c r="J34" s="87"/>
      <c r="K34" s="70"/>
      <c r="N34"/>
    </row>
    <row r="35" spans="2:14" ht="14" x14ac:dyDescent="0.3">
      <c r="B35" s="61"/>
      <c r="C35" s="12"/>
      <c r="D35" s="12"/>
      <c r="E35" s="28">
        <f>ROUNDUP(E34,0)*2</f>
        <v>314</v>
      </c>
      <c r="F35" s="28"/>
      <c r="G35" s="24"/>
      <c r="H35" s="98"/>
      <c r="I35" s="98"/>
      <c r="J35" s="87"/>
      <c r="K35" s="70"/>
      <c r="N35"/>
    </row>
    <row r="36" spans="2:14" ht="14" x14ac:dyDescent="0.3">
      <c r="B36" s="61" t="s">
        <v>89</v>
      </c>
      <c r="C36" s="12"/>
      <c r="D36" s="12"/>
      <c r="E36" s="28">
        <f>Simulateur!D18*30.69%*(1-((-Simulateur!D33/(Simulateur!D31-Simulateur!D30))))</f>
        <v>366.5</v>
      </c>
      <c r="F36" s="28"/>
      <c r="G36" s="24"/>
      <c r="H36" s="98"/>
      <c r="I36" s="98"/>
      <c r="J36" s="87"/>
      <c r="K36" s="70"/>
      <c r="M36" s="7">
        <f>E19*12.8%</f>
        <v>212.25216</v>
      </c>
      <c r="N36"/>
    </row>
    <row r="37" spans="2:14" ht="14" x14ac:dyDescent="0.3">
      <c r="B37" s="61" t="s">
        <v>90</v>
      </c>
      <c r="C37" s="12"/>
      <c r="D37" s="12"/>
      <c r="E37" s="28">
        <f>IF(E35&gt;E36,E36,E35)</f>
        <v>314</v>
      </c>
      <c r="F37" s="28"/>
      <c r="G37" s="24"/>
      <c r="H37" s="98"/>
      <c r="I37" s="98">
        <f>(174+34)*90%</f>
        <v>187.2</v>
      </c>
      <c r="J37" s="87"/>
      <c r="K37" s="70"/>
      <c r="M37" s="7" t="e">
        <f>-E47/E26</f>
        <v>#DIV/0!</v>
      </c>
      <c r="N37"/>
    </row>
    <row r="38" spans="2:14" ht="14" x14ac:dyDescent="0.3">
      <c r="B38" s="61"/>
      <c r="C38" s="12"/>
      <c r="D38" s="12"/>
      <c r="E38" s="28"/>
      <c r="F38" s="28"/>
      <c r="G38" s="24"/>
      <c r="H38" s="98"/>
      <c r="I38" s="98">
        <f>187*0.75</f>
        <v>140.25</v>
      </c>
      <c r="J38" s="87"/>
      <c r="K38" s="70"/>
      <c r="M38" s="7" t="e">
        <f>M36*M37</f>
        <v>#DIV/0!</v>
      </c>
      <c r="N38"/>
    </row>
    <row r="39" spans="2:14" ht="14" x14ac:dyDescent="0.3">
      <c r="B39" s="61"/>
      <c r="C39" s="12"/>
      <c r="D39" s="12"/>
      <c r="E39" s="28">
        <f>Simulateur!D18*30.69%</f>
        <v>581</v>
      </c>
      <c r="F39" s="28"/>
      <c r="G39" s="24"/>
      <c r="H39" s="98"/>
      <c r="I39" s="98"/>
      <c r="J39" s="87"/>
      <c r="K39" s="70"/>
      <c r="N39"/>
    </row>
    <row r="40" spans="2:14" ht="14" x14ac:dyDescent="0.3">
      <c r="B40" s="61"/>
      <c r="C40" s="12"/>
      <c r="D40" s="12"/>
      <c r="E40" s="28">
        <v>181</v>
      </c>
      <c r="F40" s="28"/>
      <c r="G40" s="24"/>
      <c r="H40" s="98"/>
      <c r="I40" s="98"/>
      <c r="J40" s="87"/>
      <c r="K40" s="70"/>
      <c r="N40"/>
    </row>
    <row r="41" spans="2:14" ht="14" x14ac:dyDescent="0.3">
      <c r="B41" s="61"/>
      <c r="C41" s="12"/>
      <c r="D41" s="12"/>
      <c r="E41" s="28"/>
      <c r="F41" s="28"/>
      <c r="G41" s="24"/>
      <c r="H41" s="98"/>
      <c r="I41" s="98">
        <v>94.01</v>
      </c>
      <c r="J41" s="87"/>
      <c r="K41" s="70"/>
      <c r="N41"/>
    </row>
    <row r="42" spans="2:14" ht="14" x14ac:dyDescent="0.3">
      <c r="B42" s="160" t="s">
        <v>91</v>
      </c>
      <c r="C42" s="12"/>
      <c r="D42" s="12"/>
      <c r="E42" s="28"/>
      <c r="F42" s="28"/>
      <c r="G42" s="24"/>
      <c r="H42" s="98"/>
      <c r="I42" s="98"/>
      <c r="J42" s="87"/>
      <c r="K42" s="70"/>
      <c r="N42"/>
    </row>
    <row r="43" spans="2:14" ht="14" x14ac:dyDescent="0.3">
      <c r="B43" s="61"/>
      <c r="C43" s="12"/>
      <c r="D43" s="12"/>
      <c r="E43" s="28"/>
      <c r="F43" s="28"/>
      <c r="G43" s="24"/>
      <c r="H43" s="98"/>
      <c r="I43" s="98"/>
      <c r="J43" s="87"/>
      <c r="K43" s="70"/>
      <c r="N43"/>
    </row>
    <row r="44" spans="2:14" ht="14" x14ac:dyDescent="0.3">
      <c r="B44" s="61"/>
      <c r="C44" s="12"/>
      <c r="D44" s="12"/>
      <c r="E44" s="28"/>
      <c r="F44" s="28"/>
      <c r="G44" s="24"/>
      <c r="H44" s="98"/>
      <c r="I44" s="98"/>
      <c r="J44" s="87"/>
      <c r="K44" s="70"/>
      <c r="N44"/>
    </row>
    <row r="45" spans="2:14" ht="14" x14ac:dyDescent="0.3">
      <c r="B45" s="61"/>
      <c r="C45" s="12"/>
      <c r="D45" s="12"/>
      <c r="E45" s="28"/>
      <c r="F45" s="28"/>
      <c r="G45" s="24"/>
      <c r="H45" s="98"/>
      <c r="I45" s="98"/>
      <c r="J45" s="87"/>
      <c r="K45" s="70"/>
      <c r="N45"/>
    </row>
    <row r="46" spans="2:14" ht="14" x14ac:dyDescent="0.3">
      <c r="B46" s="92" t="s">
        <v>6</v>
      </c>
      <c r="C46" s="62"/>
      <c r="D46" s="62"/>
      <c r="E46" s="32"/>
      <c r="F46" s="32"/>
      <c r="G46" s="27"/>
      <c r="H46" s="32"/>
      <c r="I46" s="70"/>
      <c r="J46" s="91"/>
      <c r="K46" s="70"/>
      <c r="N46"/>
    </row>
    <row r="47" spans="2:14" ht="14" x14ac:dyDescent="0.3">
      <c r="B47" s="93" t="s">
        <v>71</v>
      </c>
      <c r="C47" s="94"/>
      <c r="D47" s="95"/>
      <c r="E47" s="34">
        <f>IF(E4="oui",IF(Feuil2!C7&gt;E26*50%,-E26*50%,-Feuil2!C7),IF(Feuil2!E7&gt;E26*50%,-E26*50%,-Feuil2!E7))</f>
        <v>0</v>
      </c>
      <c r="F47" s="34"/>
      <c r="G47" s="52"/>
      <c r="H47" s="96">
        <f>IF(H14&lt;=Feuil2!C30,-H26,0)</f>
        <v>0</v>
      </c>
      <c r="I47" s="96">
        <f>IF(I14&lt;=Feuil2!C30,-I26,0)</f>
        <v>0</v>
      </c>
      <c r="J47" s="19"/>
      <c r="K47" s="70"/>
      <c r="N47"/>
    </row>
    <row r="48" spans="2:14" ht="14" x14ac:dyDescent="0.3">
      <c r="B48" s="56"/>
      <c r="C48" s="55"/>
      <c r="D48" s="55"/>
      <c r="E48" s="35">
        <f>IF(AND($E$3=1,$E$4="oui"),IF($E$7&lt;Feuil2!$A$10,Feuil2!$E$10,IF($E$7&gt;Feuil2!$A$12,Feuil2!$E$12,Feuil2!$E$11)),0)</f>
        <v>302.14999999999998</v>
      </c>
      <c r="F48" s="35">
        <f>IF(AND(E3=1,E4="oui"),IF(E7&lt;Feuil2!A10,Feuil2!G10,IF(E7&gt;Feuil2!A12,Feuil2!G12,Feuil2!G11)),0)</f>
        <v>755.3</v>
      </c>
      <c r="G48" s="37"/>
      <c r="H48" s="35">
        <f>IF(AND($E$3=1,$E$4="oui"),IF($E$7&lt;Feuil2!$A$10,Feuil2!$E$10,IF($E$7&gt;Feuil2!$A$12,Feuil2!$E$12,Feuil2!$E$11)),0)</f>
        <v>302.14999999999998</v>
      </c>
      <c r="I48" s="35">
        <f>IF(AND($E$3=1,$E$4="oui"),IF($E$7&lt;Feuil2!$A$10,Feuil2!$E$10,IF($E$7&gt;Feuil2!$A$12,Feuil2!$E$12,Feuil2!$E$11)),0)</f>
        <v>302.14999999999998</v>
      </c>
      <c r="J48" s="97"/>
      <c r="K48" s="98"/>
      <c r="N48"/>
    </row>
    <row r="49" spans="2:14" ht="14" x14ac:dyDescent="0.3">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4" x14ac:dyDescent="0.3">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4" x14ac:dyDescent="0.3">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4" x14ac:dyDescent="0.3">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4" x14ac:dyDescent="0.3">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4" x14ac:dyDescent="0.3">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4" x14ac:dyDescent="0.3">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4" x14ac:dyDescent="0.3">
      <c r="B56" s="56"/>
      <c r="C56" s="55"/>
      <c r="D56" s="55"/>
      <c r="E56" s="35"/>
      <c r="F56" s="35">
        <f>IF( F16&gt;=16,(F48+F49+F50+F51+F52+F53+F54+F55),0)</f>
        <v>0</v>
      </c>
      <c r="G56" s="37"/>
      <c r="H56" s="35"/>
      <c r="I56" s="99"/>
      <c r="J56" s="97"/>
      <c r="K56" s="98"/>
      <c r="N56"/>
    </row>
    <row r="57" spans="2:14" ht="14" x14ac:dyDescent="0.3">
      <c r="C57" s="55"/>
      <c r="D57" s="55"/>
      <c r="G57" s="97"/>
      <c r="H57" s="99">
        <f>IF(H28*85%&lt;(H48+H49+H50+H51+H52+H53+H54+H55),-H28*85%,-(H48+H49+H50+H51+H52+H53+H54+H55))</f>
        <v>-101.35</v>
      </c>
      <c r="I57" s="99">
        <f>IF(I28*85%&lt;(I48+I49+I50+I51+I52+I53+I54+I55),-I28*85%,-(I48+I49+I50+I51+I52+I53+I54+I55))</f>
        <v>-302.14999999999998</v>
      </c>
      <c r="J57" s="97"/>
      <c r="K57" s="98"/>
      <c r="N57"/>
    </row>
    <row r="58" spans="2:14" ht="14" x14ac:dyDescent="0.3">
      <c r="B58" s="56" t="s">
        <v>8</v>
      </c>
      <c r="C58" s="12"/>
      <c r="D58" s="12"/>
      <c r="E58" s="99">
        <f>IF(E28*85%&lt;(E48+E49+E50+E51+E52+E53+E54+E55),-E28*85%,-(E48+E49+E50+E51+E52+E53+E54+E55))</f>
        <v>-302.14999999999998</v>
      </c>
      <c r="F58" s="99">
        <f>IF(F19*85%&lt;F56,-F19*85%,-F56)</f>
        <v>0</v>
      </c>
      <c r="G58" s="97"/>
      <c r="H58" s="96">
        <f>IF(H14&lt;=Feuil2!C30,H57,0)</f>
        <v>-101.35</v>
      </c>
      <c r="I58" s="96">
        <f>IF(I14&lt;=Feuil2!C30,I57,0)</f>
        <v>-302.14999999999998</v>
      </c>
      <c r="J58" s="97"/>
      <c r="K58" s="98"/>
      <c r="N58"/>
    </row>
    <row r="59" spans="2:14" ht="14" x14ac:dyDescent="0.3">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4" x14ac:dyDescent="0.3">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4" x14ac:dyDescent="0.3">
      <c r="B61" s="61"/>
      <c r="C61" s="12"/>
      <c r="D61" s="12"/>
      <c r="E61" s="36">
        <f>IF((E3&gt;=3),IF(E6/12&lt;=Feuil2!E16,Feuil2!F16,0),0)</f>
        <v>0</v>
      </c>
      <c r="F61" s="36">
        <f>IF(($E$3&gt;=3),IF(E6/12&lt;=Feuil2!E16,Feuil2!F16,0),0)</f>
        <v>0</v>
      </c>
      <c r="G61" s="37"/>
      <c r="H61" s="36"/>
      <c r="I61" s="35"/>
      <c r="J61" s="97"/>
      <c r="K61" s="98"/>
      <c r="N61"/>
    </row>
    <row r="62" spans="2:14" ht="14" x14ac:dyDescent="0.3">
      <c r="B62" s="56"/>
      <c r="C62" s="55"/>
      <c r="D62" s="55"/>
      <c r="E62" s="36">
        <f>SUM(E59:E61)</f>
        <v>0</v>
      </c>
      <c r="F62" s="36">
        <f>SUM(F59:F61)</f>
        <v>0</v>
      </c>
      <c r="G62" s="37"/>
      <c r="H62" s="36"/>
      <c r="I62" s="99"/>
      <c r="J62" s="37"/>
      <c r="K62" s="70"/>
      <c r="N62"/>
    </row>
    <row r="63" spans="2:14" ht="14" x14ac:dyDescent="0.3">
      <c r="B63" s="61"/>
      <c r="C63" s="55"/>
      <c r="D63" s="55"/>
      <c r="E63" s="35"/>
      <c r="F63" s="35"/>
      <c r="G63" s="37"/>
      <c r="H63" s="36"/>
      <c r="I63" s="100"/>
      <c r="J63" s="97"/>
      <c r="K63" s="70"/>
      <c r="N63"/>
    </row>
    <row r="64" spans="2:14" ht="14" x14ac:dyDescent="0.3">
      <c r="B64" s="102"/>
      <c r="C64" s="55"/>
      <c r="D64" s="103"/>
      <c r="E64" s="38">
        <f>IF(E5="non",IF((E16+E17)&lt;120,0,-E62),IF((E16+E17)&lt;60,0,-E62/2))</f>
        <v>0</v>
      </c>
      <c r="F64" s="38">
        <f>IF(E5="non",IF((F16+F17)&lt;120,0,-F62),IF((F16+F17)&lt;60,0,-F62/2))</f>
        <v>0</v>
      </c>
      <c r="G64" s="52"/>
      <c r="H64" s="39"/>
      <c r="I64" s="100"/>
      <c r="J64" s="101"/>
      <c r="K64" s="70"/>
      <c r="N64"/>
    </row>
    <row r="65" spans="2:14" ht="14" x14ac:dyDescent="0.3">
      <c r="B65" s="61"/>
      <c r="C65" s="12"/>
      <c r="D65" s="104"/>
      <c r="E65" s="39" t="e">
        <f>IF(E10="oui",E64,0)</f>
        <v>#REF!</v>
      </c>
      <c r="F65" s="39" t="e">
        <f>IF(E10="oui",F64,0)</f>
        <v>#REF!</v>
      </c>
      <c r="G65" s="52"/>
      <c r="H65" s="39"/>
      <c r="I65" s="100"/>
      <c r="J65" s="101"/>
      <c r="K65" s="70"/>
      <c r="N65"/>
    </row>
    <row r="66" spans="2:14" ht="14" x14ac:dyDescent="0.3">
      <c r="B66" s="102" t="s">
        <v>58</v>
      </c>
      <c r="C66" s="11"/>
      <c r="D66" s="105"/>
      <c r="E66" s="34" t="e">
        <f>IF(E4="oui",E65,0)</f>
        <v>#REF!</v>
      </c>
      <c r="F66" s="34" t="e">
        <f>IF(E4="oui",F65,0)</f>
        <v>#REF!</v>
      </c>
      <c r="G66" s="52"/>
      <c r="H66" s="39"/>
      <c r="I66" s="100"/>
      <c r="J66" s="101"/>
      <c r="K66" s="70"/>
      <c r="N66"/>
    </row>
    <row r="67" spans="2:14" ht="14" x14ac:dyDescent="0.3">
      <c r="B67" s="61"/>
      <c r="C67" s="106"/>
      <c r="D67" s="107"/>
      <c r="E67" s="40"/>
      <c r="F67" s="40"/>
      <c r="G67" s="27"/>
      <c r="H67" s="40"/>
      <c r="I67" s="108"/>
      <c r="J67" s="101"/>
      <c r="K67" s="109">
        <f>IF((E3=1),IF(E6/12*Feuil2!D37&gt;Feuil2!B37,Feuil2!B37*K15,IF(E6/12*Feuil2!D37&lt;Feuil2!C37,Feuil2!C37*K15,E7/12*Feuil2!D37*K15)),0)</f>
        <v>116.79</v>
      </c>
      <c r="N67"/>
    </row>
    <row r="68" spans="2:14" ht="14" x14ac:dyDescent="0.3">
      <c r="B68" s="110"/>
      <c r="C68" s="106"/>
      <c r="D68" s="107"/>
      <c r="E68" s="40"/>
      <c r="F68" s="40"/>
      <c r="G68" s="27"/>
      <c r="H68" s="40"/>
      <c r="I68" s="108"/>
      <c r="J68" s="19"/>
      <c r="K68" s="109">
        <f>IF((E3=2),IF(E6/12*Feuil2!D38&gt;Feuil2!B38,Feuil2!B38*K15,IF(E6/12*Feuil2!D38&lt;Feuil2!C38,Feuil2!C38*K15,E7/12*Feuil2!D38*K15)),0)</f>
        <v>0</v>
      </c>
      <c r="N68"/>
    </row>
    <row r="69" spans="2:14" x14ac:dyDescent="0.25">
      <c r="B69" s="110"/>
      <c r="C69" s="106"/>
      <c r="D69" s="107"/>
      <c r="E69" s="40"/>
      <c r="F69" s="40"/>
      <c r="G69" s="27"/>
      <c r="H69" s="40"/>
      <c r="I69" s="108"/>
      <c r="J69" s="19"/>
      <c r="K69" s="109">
        <f>IF((E3=3),IF(E6/12*Feuil2!D39&gt;Feuil2!B39,Feuil2!B39*K15,IF(E6/12*Feuil2!D39&lt;Feuil2!C39,Feuil2!C39*K15,E7/12*Feuil2!D39*K15)),0)</f>
        <v>0</v>
      </c>
    </row>
    <row r="70" spans="2:14" x14ac:dyDescent="0.25">
      <c r="B70" s="110"/>
      <c r="C70" s="106"/>
      <c r="D70" s="107"/>
      <c r="E70" s="40"/>
      <c r="F70" s="40"/>
      <c r="G70" s="27"/>
      <c r="H70" s="40"/>
      <c r="I70" s="108"/>
      <c r="J70" s="19"/>
      <c r="K70" s="109">
        <f>IF((E3&gt;3),IF(E6/12*Feuil2!D40&gt;Feuil2!B40,Feuil2!B40*K15,IF(E6/12*Feuil2!D40&lt;Feuil2!C40,Feuil2!C40*K15,E7/12*Feuil2!D40*K15)),0)</f>
        <v>0</v>
      </c>
    </row>
    <row r="71" spans="2:14" x14ac:dyDescent="0.25">
      <c r="B71" s="110" t="s">
        <v>18</v>
      </c>
      <c r="C71" s="106"/>
      <c r="D71" s="107"/>
      <c r="E71" s="40"/>
      <c r="F71" s="40"/>
      <c r="G71" s="27"/>
      <c r="H71" s="40"/>
      <c r="I71" s="108"/>
      <c r="J71" s="19"/>
      <c r="K71" s="111">
        <f>SUM(K67:K70)</f>
        <v>116.79</v>
      </c>
    </row>
    <row r="72" spans="2:14" x14ac:dyDescent="0.25">
      <c r="B72" s="112" t="s">
        <v>41</v>
      </c>
      <c r="C72" s="113"/>
      <c r="D72" s="88"/>
      <c r="E72" s="26" t="e">
        <f>E32+E47+E58+E66+D84</f>
        <v>#REF!</v>
      </c>
      <c r="F72" s="26">
        <f>F19+F58+F64</f>
        <v>0</v>
      </c>
      <c r="G72" s="27"/>
      <c r="H72" s="26">
        <f>H32+H47+H57</f>
        <v>17.89</v>
      </c>
      <c r="I72" s="26">
        <f>I32+I47+I57</f>
        <v>837.67</v>
      </c>
      <c r="J72" s="19"/>
      <c r="K72" s="114">
        <f>K71</f>
        <v>116.79</v>
      </c>
    </row>
    <row r="73" spans="2:14" x14ac:dyDescent="0.25">
      <c r="B73" s="61" t="s">
        <v>59</v>
      </c>
      <c r="C73" s="12"/>
      <c r="D73" s="12"/>
      <c r="E73" s="44">
        <f>Simulateur!D59</f>
        <v>0</v>
      </c>
      <c r="F73" s="44">
        <f>Simulateur!E59</f>
        <v>0</v>
      </c>
      <c r="G73" s="41"/>
      <c r="H73" s="41"/>
      <c r="I73" s="70"/>
      <c r="J73" s="87"/>
      <c r="K73" s="70"/>
    </row>
    <row r="74" spans="2:14" x14ac:dyDescent="0.25">
      <c r="B74" s="71" t="s">
        <v>33</v>
      </c>
      <c r="C74" s="72"/>
      <c r="D74" s="72"/>
      <c r="E74" s="26" t="e">
        <f>E72*12+E73*12-E30</f>
        <v>#REF!</v>
      </c>
      <c r="F74" s="26">
        <f>F72*12+F73</f>
        <v>0</v>
      </c>
      <c r="G74" s="27"/>
      <c r="H74" s="114">
        <f>H72*12-H20*H15</f>
        <v>214.68</v>
      </c>
      <c r="I74" s="114">
        <f>I72*12-I20*I15</f>
        <v>9985.82</v>
      </c>
      <c r="J74" s="19"/>
      <c r="K74" s="114">
        <f>K72*11</f>
        <v>1284.69</v>
      </c>
    </row>
    <row r="75" spans="2:14" x14ac:dyDescent="0.25">
      <c r="B75" s="66"/>
      <c r="C75" s="12"/>
      <c r="D75" s="12"/>
      <c r="E75" s="32"/>
      <c r="F75" s="32"/>
      <c r="G75" s="27"/>
      <c r="H75" s="116">
        <f>H74-((H20-2.65)*H15*11)</f>
        <v>855.98</v>
      </c>
      <c r="I75" s="116">
        <f>I74-((I20-2.65)*I15*11)</f>
        <v>9898.7000000000007</v>
      </c>
      <c r="J75" s="115"/>
      <c r="K75" s="116"/>
    </row>
    <row r="76" spans="2:14" x14ac:dyDescent="0.25">
      <c r="B76" s="117" t="s">
        <v>7</v>
      </c>
      <c r="C76" s="106"/>
      <c r="D76" s="106"/>
      <c r="E76" s="50">
        <f>E9</f>
        <v>4000</v>
      </c>
      <c r="F76" s="50">
        <f>E9</f>
        <v>4000</v>
      </c>
      <c r="G76" s="24"/>
      <c r="H76" s="50">
        <f>E9</f>
        <v>4000</v>
      </c>
      <c r="I76" s="50">
        <f>E9</f>
        <v>4000</v>
      </c>
      <c r="J76" s="115"/>
      <c r="K76" s="50">
        <f>E9</f>
        <v>4000</v>
      </c>
    </row>
    <row r="77" spans="2:14" x14ac:dyDescent="0.25">
      <c r="B77" s="57" t="s">
        <v>32</v>
      </c>
      <c r="C77" s="11"/>
      <c r="D77" s="11"/>
      <c r="E77" s="49" t="e">
        <f>IF((E3=1),IF(E74&gt;Feuil2!F21,-Feuil2!F21/2,-(E74-11*E30)/2),IF((E74-11*E30)&gt;Feuil2!F22,-Feuil2!F22/2,-(E74-11*E30)/2))</f>
        <v>#REF!</v>
      </c>
      <c r="F77" s="49">
        <f>IF((E3=1),IF(F74&gt;Feuil2!F21,-Feuil2!F21/2,-F74/2),IF(F74&gt;Feuil2!F22,-Feuil2!F22/2,-F74/2))</f>
        <v>0</v>
      </c>
      <c r="G77" s="37"/>
      <c r="H77" s="118">
        <f>IF(H75&gt;Feuil2!C27,-(Feuil2!C27)/2,-H75/2)</f>
        <v>-427.99</v>
      </c>
      <c r="I77" s="118">
        <f>IF(I75&gt;Feuil2!C27,-(Feuil2!C27)/2,-I75/2)</f>
        <v>-1150</v>
      </c>
      <c r="J77" s="24"/>
      <c r="K77" s="118">
        <f>IF(K74&gt;Feuil2!C27,-(Feuil2!C27)/2,-K74/2)</f>
        <v>-642.35</v>
      </c>
    </row>
    <row r="78" spans="2:14" x14ac:dyDescent="0.25">
      <c r="B78" s="61"/>
      <c r="C78" s="55"/>
      <c r="D78" s="55"/>
      <c r="E78" s="35" t="e">
        <f>IF(-E77&gt;E76,E76,-E77)</f>
        <v>#REF!</v>
      </c>
      <c r="F78" s="35">
        <f>IF(-F77&gt;F76,F76,-F77)</f>
        <v>0</v>
      </c>
      <c r="G78" s="37"/>
      <c r="H78" s="36"/>
      <c r="I78" s="36"/>
      <c r="J78" s="119"/>
      <c r="K78" s="36"/>
    </row>
    <row r="79" spans="2:14" x14ac:dyDescent="0.25">
      <c r="B79" s="102" t="s">
        <v>42</v>
      </c>
      <c r="C79" s="12"/>
      <c r="D79" s="12"/>
      <c r="E79" s="36" t="e">
        <f>-E78</f>
        <v>#REF!</v>
      </c>
      <c r="F79" s="36">
        <f>-F78</f>
        <v>0</v>
      </c>
      <c r="G79" s="37"/>
      <c r="H79" s="36"/>
      <c r="I79" s="36"/>
      <c r="J79" s="37"/>
      <c r="K79" s="36"/>
    </row>
    <row r="80" spans="2:14" x14ac:dyDescent="0.25">
      <c r="B80" s="81" t="s">
        <v>67</v>
      </c>
      <c r="C80" s="12"/>
      <c r="D80" s="12"/>
      <c r="E80" s="36" t="e">
        <f>IF(E8="oui",E77,E79)</f>
        <v>#REF!</v>
      </c>
      <c r="F80" s="36">
        <f>IF(E8="oui",F77,F79)</f>
        <v>0</v>
      </c>
      <c r="G80" s="37"/>
      <c r="H80" s="36">
        <f>H77</f>
        <v>-427.99</v>
      </c>
      <c r="I80" s="36">
        <f>I77</f>
        <v>-1150</v>
      </c>
      <c r="J80" s="37"/>
      <c r="K80" s="36">
        <f>K77</f>
        <v>-642.35</v>
      </c>
    </row>
    <row r="81" spans="2:11" x14ac:dyDescent="0.25">
      <c r="B81" s="84" t="s">
        <v>39</v>
      </c>
      <c r="C81" s="85"/>
      <c r="D81" s="85"/>
      <c r="E81" s="31" t="e">
        <f>E74+E80</f>
        <v>#REF!</v>
      </c>
      <c r="F81" s="31">
        <f>F74+F80</f>
        <v>0</v>
      </c>
      <c r="G81" s="27"/>
      <c r="H81" s="31">
        <f>H74+H77</f>
        <v>-213.31</v>
      </c>
      <c r="I81" s="31">
        <f>I74+I77</f>
        <v>8835.82</v>
      </c>
      <c r="J81" s="36">
        <f>J78</f>
        <v>0</v>
      </c>
      <c r="K81" s="31">
        <f>K74+K77</f>
        <v>642.34</v>
      </c>
    </row>
    <row r="82" spans="2:11" ht="13.5" thickBot="1" x14ac:dyDescent="0.3">
      <c r="B82" s="120" t="s">
        <v>43</v>
      </c>
      <c r="C82" s="121"/>
      <c r="D82" s="121"/>
      <c r="E82" s="54" t="e">
        <f>E81/12</f>
        <v>#REF!</v>
      </c>
      <c r="F82" s="54">
        <f>F81/12</f>
        <v>0</v>
      </c>
      <c r="G82" s="53"/>
      <c r="H82" s="54">
        <f>H81/12</f>
        <v>-17.78</v>
      </c>
      <c r="I82" s="54">
        <f>I81/12</f>
        <v>736.32</v>
      </c>
      <c r="J82" s="27"/>
      <c r="K82" s="54">
        <f>K81/12</f>
        <v>53.53</v>
      </c>
    </row>
    <row r="83" spans="2:11" ht="13" x14ac:dyDescent="0.25">
      <c r="B83" s="122"/>
      <c r="D83" s="122"/>
      <c r="E83" s="122"/>
      <c r="F83" s="32"/>
      <c r="G83" s="32"/>
      <c r="H83" s="5"/>
      <c r="I83" s="5"/>
      <c r="J83" s="53"/>
      <c r="K83" s="6"/>
    </row>
    <row r="84" spans="2:11" x14ac:dyDescent="0.25">
      <c r="B84" s="124" t="s">
        <v>72</v>
      </c>
      <c r="D84" s="125">
        <f>-E37</f>
        <v>-314</v>
      </c>
      <c r="E84" s="7" t="s">
        <v>74</v>
      </c>
      <c r="F84" s="5"/>
      <c r="G84" s="5"/>
      <c r="H84" s="6"/>
      <c r="I84" s="6"/>
      <c r="J84" s="14"/>
      <c r="K84" s="123" t="s">
        <v>109</v>
      </c>
    </row>
    <row r="85" spans="2:11" x14ac:dyDescent="0.25">
      <c r="B85" s="7" t="s">
        <v>73</v>
      </c>
      <c r="J85" s="19"/>
    </row>
    <row r="86" spans="2:11" x14ac:dyDescent="0.25">
      <c r="B86" s="124" t="s">
        <v>75</v>
      </c>
      <c r="D86" s="126">
        <f>I26+I47</f>
        <v>0</v>
      </c>
      <c r="E86" s="7" t="s">
        <v>76</v>
      </c>
    </row>
    <row r="87" spans="2:11" x14ac:dyDescent="0.25">
      <c r="B87" s="124" t="s">
        <v>75</v>
      </c>
      <c r="D87" s="127">
        <f>H26+H47</f>
        <v>0</v>
      </c>
      <c r="E87" s="7" t="s">
        <v>77</v>
      </c>
    </row>
    <row r="89" spans="2:11" ht="13" x14ac:dyDescent="0.3">
      <c r="B89" s="130" t="s">
        <v>82</v>
      </c>
    </row>
    <row r="90" spans="2:11" ht="13" x14ac:dyDescent="0.3">
      <c r="B90" s="145" t="s">
        <v>108</v>
      </c>
    </row>
  </sheetData>
  <sheetProtection password="E32B" sheet="1" objects="1" scenarios="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4"/>
  <sheetViews>
    <sheetView showGridLines="0" showRowColHeaders="0" tabSelected="1" zoomScale="80" zoomScaleNormal="80" workbookViewId="0">
      <selection activeCell="G12" sqref="G12"/>
    </sheetView>
  </sheetViews>
  <sheetFormatPr baseColWidth="10" defaultColWidth="11.453125" defaultRowHeight="11" x14ac:dyDescent="0.25"/>
  <cols>
    <col min="1" max="1" width="57.1796875" style="7" customWidth="1"/>
    <col min="2" max="2" width="2.81640625" style="7" customWidth="1"/>
    <col min="3" max="3" width="11.26953125" style="7" customWidth="1"/>
    <col min="4" max="5" width="15.7265625" style="7" customWidth="1"/>
    <col min="6" max="6" width="2.81640625" style="7" customWidth="1"/>
    <col min="7" max="7" width="15.54296875" style="7" customWidth="1"/>
    <col min="8" max="8" width="13.54296875" style="7" customWidth="1"/>
    <col min="9" max="9" width="2.54296875" style="7" customWidth="1"/>
    <col min="10" max="10" width="15.1796875" style="7" customWidth="1"/>
    <col min="11" max="11" width="22.81640625" style="7" customWidth="1"/>
    <col min="12" max="16384" width="11.453125" style="7"/>
  </cols>
  <sheetData>
    <row r="1" spans="1:16" ht="20.149999999999999" customHeight="1" x14ac:dyDescent="0.25">
      <c r="A1" s="168" t="s">
        <v>56</v>
      </c>
      <c r="B1" s="169"/>
      <c r="C1" s="169"/>
      <c r="D1" s="170"/>
      <c r="E1" s="167"/>
      <c r="F1" s="167"/>
      <c r="G1" s="497"/>
      <c r="H1" s="497"/>
      <c r="I1" s="497"/>
      <c r="J1" s="497"/>
      <c r="K1" s="6"/>
      <c r="N1" s="4"/>
    </row>
    <row r="2" spans="1:16" x14ac:dyDescent="0.25">
      <c r="A2" s="425" t="s">
        <v>62</v>
      </c>
      <c r="B2" s="147"/>
      <c r="C2" s="147"/>
      <c r="D2" s="254">
        <v>1</v>
      </c>
      <c r="E2" s="471" t="s">
        <v>133</v>
      </c>
      <c r="F2" s="442"/>
      <c r="J2" s="5"/>
      <c r="K2" s="6"/>
      <c r="N2" s="10"/>
    </row>
    <row r="3" spans="1:16" x14ac:dyDescent="0.25">
      <c r="A3" s="171" t="s">
        <v>63</v>
      </c>
      <c r="B3" s="146"/>
      <c r="C3" s="146"/>
      <c r="D3" s="255" t="s">
        <v>61</v>
      </c>
      <c r="E3" s="498" t="s">
        <v>147</v>
      </c>
      <c r="F3" s="499"/>
      <c r="J3" s="5"/>
      <c r="K3" s="6"/>
    </row>
    <row r="4" spans="1:16" x14ac:dyDescent="0.25">
      <c r="A4" s="503" t="s">
        <v>64</v>
      </c>
      <c r="B4" s="504"/>
      <c r="C4" s="504"/>
      <c r="D4" s="255" t="s">
        <v>61</v>
      </c>
      <c r="E4" s="9"/>
      <c r="F4" s="9"/>
      <c r="G4" s="45"/>
      <c r="H4" s="10"/>
      <c r="I4" s="10"/>
      <c r="J4" s="5"/>
      <c r="K4" s="70"/>
      <c r="L4" s="23"/>
    </row>
    <row r="5" spans="1:16" ht="11.25" customHeight="1" x14ac:dyDescent="0.3">
      <c r="A5" s="503" t="s">
        <v>148</v>
      </c>
      <c r="B5" s="504"/>
      <c r="C5" s="504"/>
      <c r="D5" s="256">
        <v>50132</v>
      </c>
      <c r="E5" s="12"/>
      <c r="F5" s="12"/>
      <c r="G5" s="308"/>
      <c r="J5" s="6"/>
      <c r="K5" s="70"/>
      <c r="L5" s="23"/>
    </row>
    <row r="6" spans="1:16" ht="11.25" customHeight="1" x14ac:dyDescent="0.3">
      <c r="A6" s="503" t="s">
        <v>83</v>
      </c>
      <c r="B6" s="504"/>
      <c r="C6" s="504"/>
      <c r="D6" s="256">
        <v>45576</v>
      </c>
      <c r="E6" s="9"/>
      <c r="F6" s="9"/>
      <c r="G6" s="310"/>
      <c r="H6" s="310"/>
      <c r="I6" s="310"/>
      <c r="J6" s="310"/>
      <c r="K6" s="413"/>
      <c r="L6" s="413"/>
    </row>
    <row r="7" spans="1:16" ht="11.25" customHeight="1" x14ac:dyDescent="0.3">
      <c r="A7" s="171" t="s">
        <v>65</v>
      </c>
      <c r="B7" s="166"/>
      <c r="C7" s="166"/>
      <c r="D7" s="255" t="s">
        <v>61</v>
      </c>
      <c r="E7" s="12"/>
      <c r="F7" s="12"/>
      <c r="G7" s="310"/>
      <c r="H7" s="310"/>
      <c r="I7" s="310"/>
      <c r="J7" s="6"/>
      <c r="K7" s="414"/>
      <c r="L7" s="414"/>
    </row>
    <row r="8" spans="1:16" ht="11.25" customHeight="1" x14ac:dyDescent="0.3">
      <c r="A8" s="503" t="s">
        <v>45</v>
      </c>
      <c r="B8" s="504"/>
      <c r="C8" s="504"/>
      <c r="D8" s="256">
        <v>4000</v>
      </c>
      <c r="E8" s="6"/>
      <c r="F8" s="6"/>
      <c r="G8" s="309"/>
      <c r="J8" s="6"/>
      <c r="K8" s="23"/>
      <c r="L8" s="23"/>
    </row>
    <row r="9" spans="1:16" ht="11.5" thickBot="1" x14ac:dyDescent="0.3">
      <c r="A9" s="155"/>
      <c r="B9" s="155"/>
      <c r="C9" s="155"/>
      <c r="D9" s="154"/>
      <c r="E9" s="156"/>
      <c r="F9" s="156"/>
      <c r="G9" s="155"/>
      <c r="H9" s="70"/>
      <c r="I9" s="70"/>
      <c r="J9" s="70"/>
      <c r="K9" s="23"/>
      <c r="L9" s="23"/>
      <c r="M9" s="18"/>
    </row>
    <row r="10" spans="1:16" s="18" customFormat="1" ht="25.5" customHeight="1" x14ac:dyDescent="0.25">
      <c r="A10" s="172"/>
      <c r="B10" s="173"/>
      <c r="C10" s="383"/>
      <c r="D10" s="501" t="s">
        <v>103</v>
      </c>
      <c r="E10" s="502"/>
      <c r="F10" s="415"/>
      <c r="G10" s="501" t="s">
        <v>104</v>
      </c>
      <c r="H10" s="502"/>
      <c r="I10" s="415"/>
      <c r="J10" s="434" t="s">
        <v>102</v>
      </c>
      <c r="K10" s="400"/>
      <c r="L10" s="400"/>
    </row>
    <row r="11" spans="1:16" s="18" customFormat="1" x14ac:dyDescent="0.25">
      <c r="A11" s="174"/>
      <c r="B11" s="20"/>
      <c r="C11" s="384"/>
      <c r="D11" s="314" t="s">
        <v>47</v>
      </c>
      <c r="E11" s="332" t="s">
        <v>46</v>
      </c>
      <c r="F11" s="415"/>
      <c r="G11" s="314" t="s">
        <v>47</v>
      </c>
      <c r="H11" s="332" t="s">
        <v>55</v>
      </c>
      <c r="I11" s="415"/>
      <c r="J11" s="435" t="s">
        <v>93</v>
      </c>
      <c r="K11" s="400"/>
      <c r="L11" s="400"/>
      <c r="M11" s="7"/>
    </row>
    <row r="12" spans="1:16" x14ac:dyDescent="0.25">
      <c r="A12" s="175" t="s">
        <v>96</v>
      </c>
      <c r="B12" s="148"/>
      <c r="C12" s="385"/>
      <c r="D12" s="373">
        <v>10.88</v>
      </c>
      <c r="E12" s="333">
        <v>20</v>
      </c>
      <c r="F12" s="401"/>
      <c r="G12" s="315">
        <v>4</v>
      </c>
      <c r="H12" s="361">
        <v>54.25</v>
      </c>
      <c r="I12" s="424"/>
      <c r="J12" s="423"/>
      <c r="K12" s="23"/>
      <c r="L12" s="23"/>
    </row>
    <row r="13" spans="1:16" x14ac:dyDescent="0.25">
      <c r="A13" s="276" t="s">
        <v>111</v>
      </c>
      <c r="B13" s="166"/>
      <c r="C13" s="386"/>
      <c r="D13" s="374"/>
      <c r="E13" s="334"/>
      <c r="F13" s="402"/>
      <c r="G13" s="316">
        <v>22</v>
      </c>
      <c r="H13" s="335">
        <v>22</v>
      </c>
      <c r="I13" s="426"/>
      <c r="J13" s="436">
        <v>5</v>
      </c>
      <c r="K13" s="23"/>
      <c r="L13" s="23"/>
    </row>
    <row r="14" spans="1:16" x14ac:dyDescent="0.25">
      <c r="A14" s="176" t="s">
        <v>97</v>
      </c>
      <c r="B14" s="166"/>
      <c r="C14" s="386"/>
      <c r="D14" s="316">
        <v>174</v>
      </c>
      <c r="E14" s="335"/>
      <c r="F14" s="403"/>
      <c r="G14" s="316">
        <v>195</v>
      </c>
      <c r="H14" s="362"/>
      <c r="I14" s="427"/>
      <c r="J14" s="427"/>
      <c r="K14" s="23"/>
      <c r="L14" s="23"/>
    </row>
    <row r="15" spans="1:16" ht="21.75" customHeight="1" x14ac:dyDescent="0.25">
      <c r="A15" s="505" t="s">
        <v>110</v>
      </c>
      <c r="B15" s="506"/>
      <c r="C15" s="386"/>
      <c r="D15" s="316"/>
      <c r="E15" s="335"/>
      <c r="F15" s="403"/>
      <c r="G15" s="316">
        <v>1</v>
      </c>
      <c r="H15" s="363"/>
      <c r="I15" s="428"/>
      <c r="J15" s="428">
        <f>ROUNDUP(J13*48/12,0)</f>
        <v>20</v>
      </c>
      <c r="K15" s="23"/>
      <c r="L15" s="23"/>
      <c r="P15" s="163"/>
    </row>
    <row r="16" spans="1:16" ht="12.75" customHeight="1" x14ac:dyDescent="0.25">
      <c r="A16" s="473" t="s">
        <v>149</v>
      </c>
      <c r="B16" s="474"/>
      <c r="C16" s="475"/>
      <c r="D16" s="476"/>
      <c r="E16" s="477"/>
      <c r="F16" s="426"/>
      <c r="G16" s="316"/>
      <c r="H16" s="363"/>
      <c r="I16" s="428"/>
      <c r="J16" s="428"/>
      <c r="K16" s="23"/>
      <c r="L16" s="23"/>
      <c r="P16" s="163"/>
    </row>
    <row r="17" spans="1:16" x14ac:dyDescent="0.25">
      <c r="A17" s="177" t="s">
        <v>112</v>
      </c>
      <c r="B17" s="149"/>
      <c r="C17" s="387"/>
      <c r="D17" s="375">
        <v>0</v>
      </c>
      <c r="E17" s="313"/>
      <c r="F17" s="404"/>
      <c r="G17" s="312">
        <v>0.1</v>
      </c>
      <c r="H17" s="363"/>
      <c r="I17" s="428"/>
      <c r="J17" s="428"/>
      <c r="K17" s="23"/>
      <c r="L17" s="23"/>
      <c r="P17" s="164"/>
    </row>
    <row r="18" spans="1:16" ht="20.149999999999999" customHeight="1" x14ac:dyDescent="0.25">
      <c r="A18" s="195" t="s">
        <v>99</v>
      </c>
      <c r="B18" s="194"/>
      <c r="C18" s="388"/>
      <c r="D18" s="376">
        <f>D12*D14+D12*D16+D15*ROUND((D12*125%),2)+D17</f>
        <v>1893.12</v>
      </c>
      <c r="E18" s="336">
        <f>E12*E14+E15*E12*125%</f>
        <v>0</v>
      </c>
      <c r="F18" s="416"/>
      <c r="G18" s="274">
        <f>G14*G12+G12*G16+ROUND(G15*G12*(1+G17),2)</f>
        <v>784.4</v>
      </c>
      <c r="H18" s="364">
        <f>H12*H13</f>
        <v>1193.5</v>
      </c>
      <c r="I18" s="429"/>
      <c r="J18" s="352"/>
      <c r="K18" s="186"/>
      <c r="L18" s="23"/>
    </row>
    <row r="19" spans="1:16" x14ac:dyDescent="0.25">
      <c r="A19" s="178" t="s">
        <v>57</v>
      </c>
      <c r="B19" s="150"/>
      <c r="C19" s="389"/>
      <c r="D19" s="377"/>
      <c r="E19" s="337"/>
      <c r="F19" s="405"/>
      <c r="G19" s="317"/>
      <c r="H19" s="365">
        <v>3.01</v>
      </c>
      <c r="I19" s="412"/>
      <c r="J19" s="352"/>
      <c r="K19" s="23"/>
    </row>
    <row r="20" spans="1:16" hidden="1" x14ac:dyDescent="0.25">
      <c r="A20" s="179"/>
      <c r="B20" s="151"/>
      <c r="C20" s="390"/>
      <c r="D20" s="318"/>
      <c r="E20" s="338"/>
      <c r="F20" s="406"/>
      <c r="G20" s="318"/>
      <c r="H20" s="344"/>
      <c r="I20" s="406"/>
      <c r="J20" s="353"/>
      <c r="K20" s="23"/>
    </row>
    <row r="21" spans="1:16" hidden="1" x14ac:dyDescent="0.25">
      <c r="A21" s="179"/>
      <c r="B21" s="151"/>
      <c r="C21" s="390"/>
      <c r="D21" s="318"/>
      <c r="E21" s="338"/>
      <c r="F21" s="406"/>
      <c r="G21" s="318"/>
      <c r="H21" s="344"/>
      <c r="I21" s="406"/>
      <c r="J21" s="353"/>
      <c r="K21" s="23"/>
    </row>
    <row r="22" spans="1:16" hidden="1" x14ac:dyDescent="0.25">
      <c r="A22" s="179"/>
      <c r="B22" s="151"/>
      <c r="C22" s="390"/>
      <c r="D22" s="318"/>
      <c r="E22" s="338"/>
      <c r="F22" s="406"/>
      <c r="G22" s="318"/>
      <c r="H22" s="344"/>
      <c r="I22" s="406"/>
      <c r="J22" s="353"/>
      <c r="K22" s="23"/>
    </row>
    <row r="23" spans="1:16" hidden="1" x14ac:dyDescent="0.25">
      <c r="A23" s="179"/>
      <c r="B23" s="151"/>
      <c r="C23" s="390"/>
      <c r="D23" s="318"/>
      <c r="E23" s="338"/>
      <c r="F23" s="406"/>
      <c r="G23" s="318"/>
      <c r="H23" s="344"/>
      <c r="I23" s="406"/>
      <c r="J23" s="353"/>
      <c r="K23" s="23"/>
    </row>
    <row r="24" spans="1:16" hidden="1" x14ac:dyDescent="0.25">
      <c r="A24" s="179"/>
      <c r="B24" s="151"/>
      <c r="C24" s="390"/>
      <c r="D24" s="318"/>
      <c r="E24" s="338"/>
      <c r="F24" s="406"/>
      <c r="G24" s="318"/>
      <c r="H24" s="344"/>
      <c r="I24" s="406"/>
      <c r="J24" s="353"/>
      <c r="K24" s="23"/>
    </row>
    <row r="25" spans="1:16" hidden="1" x14ac:dyDescent="0.25">
      <c r="A25" s="179"/>
      <c r="B25" s="151"/>
      <c r="C25" s="390"/>
      <c r="D25" s="318"/>
      <c r="E25" s="338"/>
      <c r="F25" s="406"/>
      <c r="G25" s="318"/>
      <c r="H25" s="344"/>
      <c r="I25" s="406"/>
      <c r="J25" s="353"/>
      <c r="K25" s="23"/>
    </row>
    <row r="26" spans="1:16" hidden="1" x14ac:dyDescent="0.25">
      <c r="A26" s="179"/>
      <c r="B26" s="151"/>
      <c r="C26" s="390"/>
      <c r="D26" s="318"/>
      <c r="E26" s="338"/>
      <c r="F26" s="406"/>
      <c r="G26" s="318"/>
      <c r="H26" s="344"/>
      <c r="I26" s="406"/>
      <c r="J26" s="353"/>
      <c r="K26" s="23"/>
    </row>
    <row r="27" spans="1:16" ht="14" x14ac:dyDescent="0.3">
      <c r="A27" s="180" t="s">
        <v>78</v>
      </c>
      <c r="B27" s="146"/>
      <c r="C27" s="391"/>
      <c r="D27" s="322">
        <f>D18-Feuil3!E5</f>
        <v>1478.9</v>
      </c>
      <c r="E27" s="339"/>
      <c r="F27" s="407"/>
      <c r="G27" s="319">
        <f>G18-Feuil3!H5</f>
        <v>613.26</v>
      </c>
      <c r="H27" s="366">
        <f>H18-Feuil3!L5</f>
        <v>932.37</v>
      </c>
      <c r="I27" s="430"/>
      <c r="J27" s="352"/>
      <c r="K27" s="23"/>
      <c r="L27"/>
    </row>
    <row r="28" spans="1:16" ht="14" hidden="1" x14ac:dyDescent="0.3">
      <c r="A28" s="180"/>
      <c r="B28" s="146"/>
      <c r="C28" s="391"/>
      <c r="D28" s="322"/>
      <c r="E28" s="339"/>
      <c r="F28" s="407"/>
      <c r="G28" s="320"/>
      <c r="H28" s="367"/>
      <c r="I28" s="430"/>
      <c r="J28" s="352"/>
      <c r="K28" s="23"/>
      <c r="L28"/>
    </row>
    <row r="29" spans="1:16" ht="16.5" customHeight="1" x14ac:dyDescent="0.3">
      <c r="A29" s="177" t="s">
        <v>12</v>
      </c>
      <c r="B29" s="149"/>
      <c r="C29" s="387"/>
      <c r="D29" s="375">
        <v>0</v>
      </c>
      <c r="E29" s="340"/>
      <c r="F29" s="405"/>
      <c r="G29" s="311"/>
      <c r="H29" s="363"/>
      <c r="I29" s="428"/>
      <c r="J29" s="352"/>
      <c r="K29" s="23"/>
      <c r="L29"/>
    </row>
    <row r="30" spans="1:16" ht="20.149999999999999" customHeight="1" x14ac:dyDescent="0.3">
      <c r="A30" s="195" t="s">
        <v>100</v>
      </c>
      <c r="B30" s="196"/>
      <c r="C30" s="392"/>
      <c r="D30" s="378">
        <f>D27+D29</f>
        <v>1478.9</v>
      </c>
      <c r="E30" s="341"/>
      <c r="F30" s="417"/>
      <c r="G30" s="274">
        <f>G27+(G19*G13)</f>
        <v>613.26</v>
      </c>
      <c r="H30" s="364">
        <f>H27+H19*H13</f>
        <v>998.59</v>
      </c>
      <c r="I30" s="429"/>
      <c r="J30" s="352"/>
      <c r="L30"/>
    </row>
    <row r="31" spans="1:16" ht="11.25" customHeight="1" x14ac:dyDescent="0.3">
      <c r="A31" s="178" t="s">
        <v>40</v>
      </c>
      <c r="B31" s="150"/>
      <c r="C31" s="389"/>
      <c r="D31" s="379">
        <f>D30+Feuil3!E7-Feuil3!E4</f>
        <v>2733.02</v>
      </c>
      <c r="E31" s="342"/>
      <c r="F31" s="408"/>
      <c r="G31" s="321">
        <f>G27+Feuil3!H7</f>
        <v>1120.32</v>
      </c>
      <c r="H31" s="368">
        <f>H27+Feuil3!L7</f>
        <v>1704.63</v>
      </c>
      <c r="I31" s="431"/>
      <c r="J31" s="352"/>
      <c r="L31"/>
    </row>
    <row r="32" spans="1:16" ht="11.25" customHeight="1" x14ac:dyDescent="0.3">
      <c r="A32" s="181" t="s">
        <v>6</v>
      </c>
      <c r="B32" s="161"/>
      <c r="C32" s="391"/>
      <c r="D32" s="322"/>
      <c r="E32" s="339"/>
      <c r="F32" s="407"/>
      <c r="G32" s="322"/>
      <c r="H32" s="369"/>
      <c r="I32" s="428"/>
      <c r="J32" s="352"/>
      <c r="L32"/>
    </row>
    <row r="33" spans="1:12" ht="10" customHeight="1" x14ac:dyDescent="0.3">
      <c r="A33" s="176" t="s">
        <v>85</v>
      </c>
      <c r="B33" s="12"/>
      <c r="C33" s="386"/>
      <c r="D33" s="380">
        <f>IF(D3="oui",IF(Feuil2!C7&gt;Feuil3!E7*50%,-Feuil3!E7*50%,-Feuil2!C7),IF(Feuil2!E7&gt;Feuil3!E7*50%,-Feuil3!E7*50%,-Feuil2!E7))</f>
        <v>-463</v>
      </c>
      <c r="E33" s="343"/>
      <c r="F33" s="409"/>
      <c r="G33" s="323">
        <f>IF(G18/G13&lt;=Feuil2!C30,-Feuil3!H7,0)</f>
        <v>-507.06</v>
      </c>
      <c r="H33" s="346">
        <f>IF(H12&lt;=Feuil2!C30,-Feuil3!L7,0)</f>
        <v>-772.26</v>
      </c>
      <c r="I33" s="432"/>
      <c r="J33" s="352"/>
      <c r="L33"/>
    </row>
    <row r="34" spans="1:12" hidden="1" x14ac:dyDescent="0.25">
      <c r="A34" s="179"/>
      <c r="B34" s="162"/>
      <c r="C34" s="390"/>
      <c r="D34" s="318"/>
      <c r="E34" s="344"/>
      <c r="F34" s="410"/>
      <c r="G34" s="318"/>
      <c r="H34" s="344"/>
      <c r="I34" s="406"/>
      <c r="J34" s="353"/>
    </row>
    <row r="35" spans="1:12" hidden="1" x14ac:dyDescent="0.25">
      <c r="A35" s="179"/>
      <c r="B35" s="151"/>
      <c r="C35" s="390"/>
      <c r="D35" s="318"/>
      <c r="E35" s="344"/>
      <c r="F35" s="410"/>
      <c r="G35" s="318"/>
      <c r="H35" s="344"/>
      <c r="I35" s="406"/>
      <c r="J35" s="353"/>
    </row>
    <row r="36" spans="1:12" hidden="1" x14ac:dyDescent="0.25">
      <c r="A36" s="179"/>
      <c r="B36" s="151"/>
      <c r="C36" s="390"/>
      <c r="D36" s="318"/>
      <c r="E36" s="344"/>
      <c r="F36" s="410"/>
      <c r="G36" s="318"/>
      <c r="H36" s="344"/>
      <c r="I36" s="406"/>
      <c r="J36" s="353"/>
    </row>
    <row r="37" spans="1:12" hidden="1" x14ac:dyDescent="0.25">
      <c r="A37" s="179"/>
      <c r="B37" s="151"/>
      <c r="C37" s="390"/>
      <c r="D37" s="318"/>
      <c r="E37" s="344"/>
      <c r="F37" s="410"/>
      <c r="G37" s="318"/>
      <c r="H37" s="344"/>
      <c r="I37" s="406"/>
      <c r="J37" s="353"/>
    </row>
    <row r="38" spans="1:12" hidden="1" x14ac:dyDescent="0.25">
      <c r="A38" s="179"/>
      <c r="B38" s="151"/>
      <c r="C38" s="390"/>
      <c r="D38" s="318"/>
      <c r="E38" s="344"/>
      <c r="F38" s="410"/>
      <c r="G38" s="318"/>
      <c r="H38" s="344"/>
      <c r="I38" s="406"/>
      <c r="J38" s="353"/>
    </row>
    <row r="39" spans="1:12" hidden="1" x14ac:dyDescent="0.25">
      <c r="A39" s="179"/>
      <c r="B39" s="151"/>
      <c r="C39" s="390"/>
      <c r="D39" s="318"/>
      <c r="E39" s="344"/>
      <c r="F39" s="410"/>
      <c r="G39" s="318"/>
      <c r="H39" s="344"/>
      <c r="I39" s="406"/>
      <c r="J39" s="353"/>
    </row>
    <row r="40" spans="1:12" hidden="1" x14ac:dyDescent="0.25">
      <c r="A40" s="179"/>
      <c r="B40" s="151"/>
      <c r="C40" s="390"/>
      <c r="D40" s="318"/>
      <c r="E40" s="344"/>
      <c r="F40" s="410"/>
      <c r="G40" s="318"/>
      <c r="H40" s="344"/>
      <c r="I40" s="406"/>
      <c r="J40" s="353"/>
    </row>
    <row r="41" spans="1:12" hidden="1" x14ac:dyDescent="0.25">
      <c r="A41" s="179"/>
      <c r="B41" s="151"/>
      <c r="C41" s="390"/>
      <c r="D41" s="318"/>
      <c r="E41" s="344"/>
      <c r="F41" s="410"/>
      <c r="G41" s="318"/>
      <c r="H41" s="344"/>
      <c r="I41" s="406"/>
      <c r="J41" s="353"/>
    </row>
    <row r="42" spans="1:12" hidden="1" x14ac:dyDescent="0.25">
      <c r="A42" s="179"/>
      <c r="B42" s="151"/>
      <c r="C42" s="390"/>
      <c r="D42" s="318"/>
      <c r="E42" s="344"/>
      <c r="F42" s="410"/>
      <c r="G42" s="318"/>
      <c r="H42" s="344"/>
      <c r="I42" s="406"/>
      <c r="J42" s="353"/>
    </row>
    <row r="43" spans="1:12" hidden="1" x14ac:dyDescent="0.25">
      <c r="A43" s="179"/>
      <c r="B43" s="151"/>
      <c r="C43" s="390"/>
      <c r="D43" s="318"/>
      <c r="E43" s="344"/>
      <c r="F43" s="410"/>
      <c r="G43" s="318"/>
      <c r="H43" s="344"/>
      <c r="I43" s="406"/>
      <c r="J43" s="353"/>
    </row>
    <row r="44" spans="1:12" ht="15" customHeight="1" x14ac:dyDescent="0.3">
      <c r="A44" s="182" t="s">
        <v>87</v>
      </c>
      <c r="B44" s="183"/>
      <c r="C44" s="393">
        <f>Feuil3!E7+Simulateur!D33+C69</f>
        <v>477.12</v>
      </c>
      <c r="D44" s="381"/>
      <c r="E44" s="345"/>
      <c r="F44" s="406"/>
      <c r="G44" s="324"/>
      <c r="H44" s="370"/>
      <c r="I44" s="406"/>
      <c r="J44" s="353"/>
      <c r="L44"/>
    </row>
    <row r="45" spans="1:12" hidden="1" x14ac:dyDescent="0.25">
      <c r="A45" s="179"/>
      <c r="B45" s="151"/>
      <c r="C45" s="390"/>
      <c r="D45" s="318"/>
      <c r="E45" s="344"/>
      <c r="F45" s="410"/>
      <c r="G45" s="318"/>
      <c r="H45" s="344"/>
      <c r="I45" s="406"/>
      <c r="J45" s="353"/>
    </row>
    <row r="46" spans="1:12" hidden="1" x14ac:dyDescent="0.25">
      <c r="A46" s="179"/>
      <c r="B46" s="151"/>
      <c r="C46" s="390"/>
      <c r="D46" s="318"/>
      <c r="E46" s="344"/>
      <c r="F46" s="410"/>
      <c r="G46" s="318"/>
      <c r="H46" s="344"/>
      <c r="I46" s="406"/>
      <c r="J46" s="353"/>
    </row>
    <row r="47" spans="1:12" hidden="1" x14ac:dyDescent="0.25">
      <c r="A47" s="179"/>
      <c r="B47" s="151"/>
      <c r="C47" s="390"/>
      <c r="D47" s="318"/>
      <c r="E47" s="344"/>
      <c r="F47" s="410"/>
      <c r="G47" s="318"/>
      <c r="H47" s="344"/>
      <c r="I47" s="406"/>
      <c r="J47" s="353"/>
    </row>
    <row r="48" spans="1:12" hidden="1" x14ac:dyDescent="0.25">
      <c r="A48" s="179"/>
      <c r="B48" s="151"/>
      <c r="C48" s="390"/>
      <c r="D48" s="318"/>
      <c r="E48" s="344"/>
      <c r="F48" s="410"/>
      <c r="G48" s="318"/>
      <c r="H48" s="344"/>
      <c r="I48" s="406"/>
      <c r="J48" s="353"/>
    </row>
    <row r="49" spans="1:10" hidden="1" x14ac:dyDescent="0.25">
      <c r="A49" s="179"/>
      <c r="B49" s="151"/>
      <c r="C49" s="390"/>
      <c r="D49" s="318"/>
      <c r="E49" s="344"/>
      <c r="F49" s="410"/>
      <c r="G49" s="318"/>
      <c r="H49" s="344"/>
      <c r="I49" s="406"/>
      <c r="J49" s="353"/>
    </row>
    <row r="50" spans="1:10" hidden="1" x14ac:dyDescent="0.25">
      <c r="A50" s="179"/>
      <c r="B50" s="151"/>
      <c r="C50" s="390"/>
      <c r="D50" s="318"/>
      <c r="E50" s="344"/>
      <c r="F50" s="410"/>
      <c r="G50" s="318"/>
      <c r="H50" s="344"/>
      <c r="I50" s="406"/>
      <c r="J50" s="353"/>
    </row>
    <row r="51" spans="1:10" hidden="1" x14ac:dyDescent="0.25">
      <c r="A51" s="179"/>
      <c r="B51" s="151"/>
      <c r="C51" s="390"/>
      <c r="D51" s="318"/>
      <c r="E51" s="344"/>
      <c r="F51" s="410"/>
      <c r="G51" s="318"/>
      <c r="H51" s="344"/>
      <c r="I51" s="406"/>
      <c r="J51" s="353"/>
    </row>
    <row r="52" spans="1:10" x14ac:dyDescent="0.25">
      <c r="A52" s="176" t="s">
        <v>8</v>
      </c>
      <c r="B52" s="166"/>
      <c r="C52" s="386"/>
      <c r="D52" s="323">
        <f>IF(D27*85%&lt;(Feuil3!E9+Feuil3!E10+Feuil3!E11+Feuil3!E12+Feuil3!E13+Feuil3!E14+Feuil3!E15+Feuil3!E16),-D27*85%,-(Feuil3!E9+Feuil3!E10+Feuil3!E11+Feuil3!E12+Feuil3!E13+Feuil3!E14+Feuil3!E15+Feuil3!E16))</f>
        <v>-302.14999999999998</v>
      </c>
      <c r="E52" s="346">
        <f>IF(E18*85%&lt;Feuil3!F17,-E18*85%,-Feuil3!F17)</f>
        <v>0</v>
      </c>
      <c r="F52" s="411"/>
      <c r="G52" s="323">
        <f>IF(G18/G13&lt;=Feuil2!C30,Feuil3!H18,0)</f>
        <v>-302.14999999999998</v>
      </c>
      <c r="H52" s="346">
        <f>IF(H12&lt;=Feuil2!C30,Feuil3!I18,0)</f>
        <v>-302.14999999999998</v>
      </c>
      <c r="I52" s="432"/>
      <c r="J52" s="354"/>
    </row>
    <row r="53" spans="1:10" hidden="1" x14ac:dyDescent="0.25">
      <c r="A53" s="179"/>
      <c r="B53" s="151"/>
      <c r="C53" s="390"/>
      <c r="D53" s="318"/>
      <c r="E53" s="344"/>
      <c r="F53" s="406"/>
      <c r="G53" s="325"/>
      <c r="H53" s="338"/>
      <c r="I53" s="406"/>
      <c r="J53" s="355"/>
    </row>
    <row r="54" spans="1:10" hidden="1" x14ac:dyDescent="0.25">
      <c r="A54" s="179"/>
      <c r="B54" s="151"/>
      <c r="C54" s="390"/>
      <c r="D54" s="318"/>
      <c r="E54" s="344"/>
      <c r="F54" s="406"/>
      <c r="G54" s="325"/>
      <c r="H54" s="338"/>
      <c r="I54" s="406"/>
      <c r="J54" s="355"/>
    </row>
    <row r="55" spans="1:10" hidden="1" x14ac:dyDescent="0.25">
      <c r="A55" s="179"/>
      <c r="B55" s="151"/>
      <c r="C55" s="390"/>
      <c r="D55" s="318"/>
      <c r="E55" s="344"/>
      <c r="F55" s="406"/>
      <c r="G55" s="325"/>
      <c r="H55" s="338"/>
      <c r="I55" s="406"/>
      <c r="J55" s="355"/>
    </row>
    <row r="56" spans="1:10" hidden="1" x14ac:dyDescent="0.25">
      <c r="A56" s="179"/>
      <c r="B56" s="151"/>
      <c r="C56" s="390"/>
      <c r="D56" s="318"/>
      <c r="E56" s="344"/>
      <c r="F56" s="406"/>
      <c r="G56" s="325"/>
      <c r="H56" s="338"/>
      <c r="I56" s="406"/>
      <c r="J56" s="355"/>
    </row>
    <row r="57" spans="1:10" x14ac:dyDescent="0.25">
      <c r="A57" s="184" t="s">
        <v>18</v>
      </c>
      <c r="B57" s="165"/>
      <c r="C57" s="394"/>
      <c r="D57" s="330"/>
      <c r="E57" s="347"/>
      <c r="F57" s="407"/>
      <c r="G57" s="326"/>
      <c r="H57" s="371"/>
      <c r="I57" s="428"/>
      <c r="J57" s="356">
        <f>SUM(Feuil3!K28:K31)</f>
        <v>513.85</v>
      </c>
    </row>
    <row r="58" spans="1:10" ht="20.149999999999999" customHeight="1" x14ac:dyDescent="0.25">
      <c r="A58" s="197" t="s">
        <v>41</v>
      </c>
      <c r="B58" s="198"/>
      <c r="C58" s="395"/>
      <c r="D58" s="327">
        <f>D31+D33+D52+C69</f>
        <v>1653.87</v>
      </c>
      <c r="E58" s="348">
        <f>E18+E52+Feuil3!F25</f>
        <v>0</v>
      </c>
      <c r="F58" s="419"/>
      <c r="G58" s="327">
        <f>G31+G33+G52+(G13*G19)</f>
        <v>311.11</v>
      </c>
      <c r="H58" s="348">
        <f>H31+H33+H52+(H13*H19)</f>
        <v>696.44</v>
      </c>
      <c r="I58" s="419"/>
      <c r="J58" s="357">
        <f>J57</f>
        <v>513.85</v>
      </c>
    </row>
    <row r="59" spans="1:10" x14ac:dyDescent="0.25">
      <c r="A59" s="185" t="s">
        <v>59</v>
      </c>
      <c r="B59" s="12"/>
      <c r="C59" s="396"/>
      <c r="D59" s="382">
        <v>0</v>
      </c>
      <c r="E59" s="349"/>
      <c r="F59" s="420"/>
      <c r="G59" s="437"/>
      <c r="H59" s="441"/>
      <c r="I59" s="440"/>
      <c r="J59" s="352"/>
    </row>
    <row r="60" spans="1:10" ht="20.149999999999999" customHeight="1" thickBot="1" x14ac:dyDescent="0.3">
      <c r="A60" s="197" t="s">
        <v>33</v>
      </c>
      <c r="B60" s="199"/>
      <c r="C60" s="397"/>
      <c r="D60" s="327">
        <f>((D58-D29)*12+D59*12)+D29*11</f>
        <v>19846.439999999999</v>
      </c>
      <c r="E60" s="348">
        <f>E58*12+E59</f>
        <v>0</v>
      </c>
      <c r="F60" s="418"/>
      <c r="G60" s="328">
        <f>G58*12</f>
        <v>3733.32</v>
      </c>
      <c r="H60" s="372">
        <f>H58*12</f>
        <v>8357.2800000000007</v>
      </c>
      <c r="I60" s="433"/>
      <c r="J60" s="357">
        <f>J58*11</f>
        <v>5652.35</v>
      </c>
    </row>
    <row r="61" spans="1:10" ht="11.5" hidden="1" thickBot="1" x14ac:dyDescent="0.3">
      <c r="A61" s="186"/>
      <c r="B61" s="23"/>
      <c r="C61" s="345"/>
      <c r="D61" s="325"/>
      <c r="E61" s="338"/>
      <c r="F61" s="406"/>
      <c r="G61" s="325"/>
      <c r="H61" s="338"/>
      <c r="I61" s="406"/>
      <c r="J61" s="353"/>
    </row>
    <row r="62" spans="1:10" ht="11.5" hidden="1" thickBot="1" x14ac:dyDescent="0.3">
      <c r="A62" s="186"/>
      <c r="B62" s="23"/>
      <c r="C62" s="345"/>
      <c r="D62" s="325"/>
      <c r="E62" s="338"/>
      <c r="F62" s="406"/>
      <c r="G62" s="325"/>
      <c r="H62" s="338"/>
      <c r="I62" s="406"/>
      <c r="J62" s="353"/>
    </row>
    <row r="63" spans="1:10" ht="11.5" hidden="1" thickBot="1" x14ac:dyDescent="0.3">
      <c r="A63" s="186"/>
      <c r="B63" s="23"/>
      <c r="C63" s="345"/>
      <c r="D63" s="325"/>
      <c r="E63" s="338"/>
      <c r="F63" s="406"/>
      <c r="G63" s="325"/>
      <c r="H63" s="338"/>
      <c r="I63" s="406"/>
      <c r="J63" s="353"/>
    </row>
    <row r="64" spans="1:10" ht="11.5" hidden="1" thickBot="1" x14ac:dyDescent="0.3">
      <c r="A64" s="186"/>
      <c r="B64" s="23"/>
      <c r="C64" s="345"/>
      <c r="D64" s="325"/>
      <c r="E64" s="338"/>
      <c r="F64" s="406"/>
      <c r="G64" s="325"/>
      <c r="H64" s="338"/>
      <c r="I64" s="406"/>
      <c r="J64" s="353"/>
    </row>
    <row r="65" spans="1:10" ht="11.5" hidden="1" thickBot="1" x14ac:dyDescent="0.3">
      <c r="A65" s="186"/>
      <c r="B65" s="23"/>
      <c r="C65" s="345"/>
      <c r="D65" s="325"/>
      <c r="E65" s="338"/>
      <c r="F65" s="406"/>
      <c r="G65" s="325"/>
      <c r="H65" s="338"/>
      <c r="I65" s="406"/>
      <c r="J65" s="353"/>
    </row>
    <row r="66" spans="1:10" x14ac:dyDescent="0.25">
      <c r="A66" s="187" t="s">
        <v>140</v>
      </c>
      <c r="B66" s="148"/>
      <c r="C66" s="385"/>
      <c r="D66" s="329">
        <f>IF(D7="oui",Feuil3!E35,Feuil3!E37)</f>
        <v>-6750</v>
      </c>
      <c r="E66" s="350">
        <f>IF(D7="oui",Feuil3!F35,Feuil3!F37)</f>
        <v>0</v>
      </c>
      <c r="F66" s="438"/>
      <c r="G66" s="329">
        <f>Feuil3!H35</f>
        <v>-1150</v>
      </c>
      <c r="H66" s="350">
        <f>Feuil3!I35</f>
        <v>-1150</v>
      </c>
      <c r="I66" s="439"/>
      <c r="J66" s="358">
        <f>Feuil3!K35</f>
        <v>-1150</v>
      </c>
    </row>
    <row r="67" spans="1:10" x14ac:dyDescent="0.25">
      <c r="A67" s="184" t="s">
        <v>141</v>
      </c>
      <c r="B67" s="152"/>
      <c r="C67" s="398"/>
      <c r="D67" s="330">
        <f>D60+D66</f>
        <v>13096.44</v>
      </c>
      <c r="E67" s="347">
        <f>E60+E66</f>
        <v>0</v>
      </c>
      <c r="F67" s="407"/>
      <c r="G67" s="330">
        <f>G60+G66</f>
        <v>2583.3200000000002</v>
      </c>
      <c r="H67" s="347">
        <f>H60+H66</f>
        <v>7207.28</v>
      </c>
      <c r="I67" s="421"/>
      <c r="J67" s="359">
        <f>J60+Feuil3!K35</f>
        <v>4502.3500000000004</v>
      </c>
    </row>
    <row r="68" spans="1:10" ht="20.149999999999999" customHeight="1" thickBot="1" x14ac:dyDescent="0.3">
      <c r="A68" s="200" t="s">
        <v>101</v>
      </c>
      <c r="B68" s="201"/>
      <c r="C68" s="399"/>
      <c r="D68" s="331">
        <f>D67/12</f>
        <v>1091.3699999999999</v>
      </c>
      <c r="E68" s="351">
        <f>E67/12</f>
        <v>0</v>
      </c>
      <c r="F68" s="422"/>
      <c r="G68" s="331">
        <f>G67/12</f>
        <v>215.28</v>
      </c>
      <c r="H68" s="351">
        <f>H67/12</f>
        <v>600.61</v>
      </c>
      <c r="I68" s="422"/>
      <c r="J68" s="360">
        <f>J67/12</f>
        <v>375.2</v>
      </c>
    </row>
    <row r="69" spans="1:10" ht="19" customHeight="1" x14ac:dyDescent="0.25">
      <c r="A69" s="158" t="s">
        <v>86</v>
      </c>
      <c r="B69" s="157"/>
      <c r="C69" s="159">
        <f>-'1'!E37</f>
        <v>-314</v>
      </c>
      <c r="E69" s="5"/>
      <c r="F69" s="13"/>
      <c r="G69" s="6"/>
      <c r="H69" s="6"/>
      <c r="I69" s="70"/>
      <c r="J69" s="273" t="s">
        <v>158</v>
      </c>
    </row>
    <row r="70" spans="1:10" s="190" customFormat="1" ht="34.5" customHeight="1" x14ac:dyDescent="0.2">
      <c r="A70" s="507" t="s">
        <v>98</v>
      </c>
      <c r="B70" s="507"/>
      <c r="C70" s="507"/>
      <c r="D70" s="507"/>
      <c r="E70" s="507"/>
      <c r="F70" s="507"/>
      <c r="G70" s="507"/>
      <c r="H70" s="188"/>
      <c r="I70" s="188"/>
      <c r="J70" s="189"/>
    </row>
    <row r="71" spans="1:10" s="190" customFormat="1" ht="21" customHeight="1" x14ac:dyDescent="0.2">
      <c r="A71" s="190" t="s">
        <v>73</v>
      </c>
    </row>
    <row r="72" spans="1:10" s="190" customFormat="1" ht="10" x14ac:dyDescent="0.2">
      <c r="A72" s="191" t="s">
        <v>75</v>
      </c>
      <c r="C72" s="192">
        <f>Feuil3!I7+H33</f>
        <v>-772.26</v>
      </c>
      <c r="D72" s="190" t="s">
        <v>94</v>
      </c>
    </row>
    <row r="73" spans="1:10" s="190" customFormat="1" ht="10" x14ac:dyDescent="0.2">
      <c r="A73" s="191" t="s">
        <v>75</v>
      </c>
      <c r="C73" s="193">
        <f>Feuil3!H7+G33</f>
        <v>0</v>
      </c>
      <c r="D73" s="190" t="s">
        <v>95</v>
      </c>
    </row>
    <row r="74" spans="1:10" ht="28.5" customHeight="1" x14ac:dyDescent="0.25">
      <c r="A74" s="500"/>
      <c r="B74" s="500"/>
      <c r="C74" s="500"/>
      <c r="D74" s="500"/>
      <c r="E74" s="500"/>
      <c r="F74" s="500"/>
      <c r="G74" s="500"/>
      <c r="H74" s="500"/>
      <c r="I74" s="500"/>
      <c r="J74" s="500"/>
    </row>
  </sheetData>
  <mergeCells count="11">
    <mergeCell ref="G1:J1"/>
    <mergeCell ref="E3:F3"/>
    <mergeCell ref="A74:J74"/>
    <mergeCell ref="G10:H10"/>
    <mergeCell ref="A4:C4"/>
    <mergeCell ref="A5:C5"/>
    <mergeCell ref="A6:C6"/>
    <mergeCell ref="A8:C8"/>
    <mergeCell ref="D10:E10"/>
    <mergeCell ref="A15:B15"/>
    <mergeCell ref="A70:G70"/>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3808-C845-46C4-B043-C31B5DBB8739}">
  <dimension ref="A1"/>
  <sheetViews>
    <sheetView workbookViewId="0"/>
  </sheetViews>
  <sheetFormatPr baseColWidth="10" defaultRowHeight="1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7"/>
  <sheetViews>
    <sheetView workbookViewId="0">
      <selection activeCell="M26" sqref="M26"/>
    </sheetView>
  </sheetViews>
  <sheetFormatPr baseColWidth="10" defaultRowHeight="14" x14ac:dyDescent="0.3"/>
  <sheetData>
    <row r="2" spans="2:14" s="7" customFormat="1" ht="11" x14ac:dyDescent="0.25">
      <c r="B2" s="61"/>
      <c r="C2" s="12"/>
      <c r="D2" s="12"/>
      <c r="E2" s="28"/>
      <c r="F2" s="28"/>
      <c r="G2" s="24"/>
      <c r="H2" s="75">
        <f>Simulateur!G18*Feuil2!E27</f>
        <v>0</v>
      </c>
      <c r="I2" s="75">
        <f>Simulateur!H12*Simulateur!H13*Feuil2!E27</f>
        <v>0</v>
      </c>
      <c r="J2" s="76"/>
      <c r="K2" s="70"/>
    </row>
    <row r="3" spans="2:14" s="7" customFormat="1" ht="11" x14ac:dyDescent="0.25">
      <c r="B3" s="61"/>
      <c r="C3" s="12"/>
      <c r="D3" s="12"/>
      <c r="E3" s="77"/>
      <c r="F3" s="28"/>
      <c r="G3" s="24"/>
      <c r="H3" s="28"/>
      <c r="I3" s="75"/>
      <c r="J3" s="76"/>
      <c r="K3" s="76"/>
    </row>
    <row r="4" spans="2:14" s="7" customFormat="1" ht="11" x14ac:dyDescent="0.25">
      <c r="B4" s="61"/>
      <c r="C4" s="12"/>
      <c r="D4" s="12"/>
      <c r="E4" s="28"/>
      <c r="F4" s="28"/>
      <c r="G4" s="24"/>
      <c r="H4" s="75"/>
      <c r="I4" s="75"/>
      <c r="J4" s="76"/>
      <c r="K4" s="70"/>
      <c r="L4" s="23"/>
    </row>
    <row r="5" spans="2:14" s="7" customFormat="1" ht="11" x14ac:dyDescent="0.25">
      <c r="B5" s="61" t="s">
        <v>3</v>
      </c>
      <c r="C5" s="12"/>
      <c r="D5" s="12"/>
      <c r="E5" s="28">
        <f>' BS GED'!H22</f>
        <v>414.22</v>
      </c>
      <c r="F5" s="28"/>
      <c r="G5" s="24"/>
      <c r="H5" s="75">
        <f>'BS AM'!H24</f>
        <v>171.14</v>
      </c>
      <c r="I5" s="75">
        <f>Simulateur!H18*Feuil2!$E$27</f>
        <v>0</v>
      </c>
      <c r="J5" s="76"/>
      <c r="K5" s="70"/>
      <c r="L5" s="307">
        <f>'BS AM'!R24</f>
        <v>261.13</v>
      </c>
    </row>
    <row r="6" spans="2:14" s="7" customFormat="1" x14ac:dyDescent="0.3">
      <c r="B6" s="56" t="s">
        <v>4</v>
      </c>
      <c r="C6" s="55"/>
      <c r="D6" s="55"/>
      <c r="E6" s="29">
        <f>' BS GED'!F22</f>
        <v>839.9</v>
      </c>
      <c r="F6" s="28"/>
      <c r="G6" s="24"/>
      <c r="H6" s="78">
        <f>'BS AM'!F24</f>
        <v>335.92</v>
      </c>
      <c r="I6" s="78">
        <f>Simulateur!H12*Simulateur!H13*Feuil2!E28</f>
        <v>0</v>
      </c>
      <c r="J6" s="76"/>
      <c r="K6" s="70"/>
      <c r="L6" s="307">
        <f>'BS AM'!P24</f>
        <v>511.13</v>
      </c>
      <c r="N6"/>
    </row>
    <row r="7" spans="2:14" s="7" customFormat="1" x14ac:dyDescent="0.3">
      <c r="B7" s="56" t="s">
        <v>84</v>
      </c>
      <c r="C7" s="55"/>
      <c r="D7" s="55"/>
      <c r="E7" s="128">
        <f>' BS GED'!F22+' BS GED'!H22</f>
        <v>1254.1199999999999</v>
      </c>
      <c r="F7" s="24"/>
      <c r="G7" s="24"/>
      <c r="H7" s="80">
        <f>SUM(H5:H6)</f>
        <v>507.06</v>
      </c>
      <c r="I7" s="79">
        <f>I2+I6</f>
        <v>0</v>
      </c>
      <c r="J7" s="79"/>
      <c r="K7" s="19"/>
      <c r="L7" s="307">
        <f>SUM(L5:L6)</f>
        <v>772.26</v>
      </c>
      <c r="M7" s="47"/>
      <c r="N7"/>
    </row>
    <row r="8" spans="2:14" x14ac:dyDescent="0.3">
      <c r="B8" s="65"/>
      <c r="E8" s="153"/>
    </row>
    <row r="9" spans="2:14" s="7" customFormat="1" x14ac:dyDescent="0.3">
      <c r="B9" s="56"/>
      <c r="C9" s="55"/>
      <c r="D9" s="55"/>
      <c r="E9" s="35">
        <f>IF(AND(Simulateur!$D$2=1,Simulateur!$D$3="oui"),IF(Simulateur!$D$6&lt;Feuil2!$A$10,Feuil2!$E$10,IF(Simulateur!$D$6&gt;Feuil2!$A$12,Feuil2!$E$12,Feuil2!$E$11)),0)</f>
        <v>302.14999999999998</v>
      </c>
      <c r="F9" s="35">
        <f>IF(AND(Simulateur!D2=1,Simulateur!D3="oui"),IF(Simulateur!D6&lt;Feuil2!A10,Feuil2!G10,IF(Simulateur!D6&gt;Feuil2!A12,Feuil2!G12,Feuil2!G11)),0)</f>
        <v>755.3</v>
      </c>
      <c r="G9" s="37"/>
      <c r="H9" s="35">
        <f>IF(AND(Simulateur!$D$2=1,Simulateur!$D$3="oui"),IF(Simulateur!$D$6&lt;Feuil2!$A$10,Feuil2!$E$10,IF(Simulateur!$D$6&gt;Feuil2!$A$12,Feuil2!$E$12,Feuil2!$E$11)),0)</f>
        <v>302.14999999999998</v>
      </c>
      <c r="I9" s="35">
        <f>IF(AND(Simulateur!$D$2=1,Simulateur!$D$3="oui"),IF(Simulateur!$D$6&lt;Feuil2!$A$10,Feuil2!$E$10,IF(Simulateur!$D$6&gt;Feuil2!$A$12,Feuil2!$E$12,Feuil2!$E$11)),0)</f>
        <v>302.14999999999998</v>
      </c>
      <c r="J9" s="97"/>
      <c r="K9" s="98"/>
      <c r="N9"/>
    </row>
    <row r="10" spans="2:14" s="7" customFormat="1" x14ac:dyDescent="0.3">
      <c r="B10" s="56"/>
      <c r="C10" s="55"/>
      <c r="D10" s="55"/>
      <c r="E10" s="35">
        <f>IF(AND(Simulateur!$D$2=1,Simulateur!$D$3="non"),IF(Simulateur!$D$6&lt;Feuil2!$A$10,Feuil2!$F$10,IF(Simulateur!$D$6&gt;Feuil2!$A$12,Feuil2!$F$12,Feuil2!$F$11)),0)</f>
        <v>0</v>
      </c>
      <c r="F10" s="35">
        <f>IF(AND(Simulateur!D2=1,Simulateur!D3="non"),IF(Simulateur!D6&lt;Feuil2!A10,Feuil2!H10,IF(Simulateur!D6&gt;Feuil2!A12,Feuil2!H12,Feuil2!H11)),0)</f>
        <v>0</v>
      </c>
      <c r="G10" s="37"/>
      <c r="H10" s="35">
        <f>IF(AND(Simulateur!$D$2=1,Simulateur!$D$3="non"),IF(Simulateur!$D$6&lt;Feuil2!$A$10,Feuil2!$F$10,IF(Simulateur!$D$6&gt;Feuil2!$A$12,Feuil2!$F$12,Feuil2!$F$11)),0)</f>
        <v>0</v>
      </c>
      <c r="I10" s="35">
        <f>IF(AND(Simulateur!$D$2=1,Simulateur!$D$3="non"),IF(Simulateur!$D$6&lt;Feuil2!$A$10,Feuil2!$F$10,IF(Simulateur!$D$6&gt;Feuil2!$A$12,Feuil2!$F$12,Feuil2!$F$11)),0)</f>
        <v>0</v>
      </c>
      <c r="J10" s="97"/>
      <c r="K10" s="98"/>
      <c r="N10"/>
    </row>
    <row r="11" spans="2:14" s="7" customFormat="1" x14ac:dyDescent="0.3">
      <c r="B11" s="56"/>
      <c r="C11" s="55"/>
      <c r="D11" s="55"/>
      <c r="E11" s="35">
        <f>IF(AND(Simulateur!$D$2=2,Simulateur!$D$3="oui"),IF(Simulateur!$D$6&lt;Feuil2!$B$10,Feuil2!$E$10,IF(Simulateur!$D$6&gt;Feuil2!$B$12,Feuil2!$E$12,Feuil2!$E$11)),0)</f>
        <v>0</v>
      </c>
      <c r="F11" s="35">
        <f>IF(AND(Simulateur!D2=2,Simulateur!D3="oui"),IF(Simulateur!D6&lt;Feuil2!B10,Feuil2!G10,IF(Simulateur!D6&gt;Feuil2!B12,Feuil2!G12,Feuil2!G11)),0)</f>
        <v>0</v>
      </c>
      <c r="G11" s="37"/>
      <c r="H11" s="35">
        <f>IF(AND(Simulateur!$D$2=2,Simulateur!$D$3="oui"),IF(Simulateur!$D$6&lt;Feuil2!$B$10,Feuil2!$E$10,IF(Simulateur!$D$6&gt;Feuil2!$B$12,Feuil2!$E$12,Feuil2!$E$11)),0)</f>
        <v>0</v>
      </c>
      <c r="I11" s="35">
        <f>IF(AND(Simulateur!$D$2=2,Simulateur!$D$3="oui"),IF(Simulateur!$D$6&lt;Feuil2!$B$10,Feuil2!$E$10,IF(Simulateur!$D$6&gt;Feuil2!$B$12,Feuil2!$E$12,Feuil2!$E$11)),0)</f>
        <v>0</v>
      </c>
      <c r="J11" s="97"/>
      <c r="K11" s="98"/>
      <c r="N11"/>
    </row>
    <row r="12" spans="2:14" s="7" customFormat="1" x14ac:dyDescent="0.3">
      <c r="B12" s="56"/>
      <c r="C12" s="55"/>
      <c r="D12" s="55"/>
      <c r="E12" s="35">
        <f>IF(AND(Simulateur!$D$2=2,Simulateur!$D$3="non"),IF(Simulateur!$D$6&lt;Feuil2!$B$10,Feuil2!$F$10,IF(Simulateur!$D$6&gt;Feuil2!$B$12,Feuil2!$F$12,Feuil2!$F$11)),0)</f>
        <v>0</v>
      </c>
      <c r="F12" s="35">
        <f>IF(AND(Simulateur!D2=2,Simulateur!D3="non"),IF(Simulateur!D6&lt;Feuil2!B10,Feuil2!H10,IF(Simulateur!D6&gt;Feuil2!B12,Feuil2!H12,Feuil2!H11)),0)</f>
        <v>0</v>
      </c>
      <c r="G12" s="37"/>
      <c r="H12" s="35">
        <f>IF(AND(Simulateur!$D$2=2,Simulateur!$D$3="non"),IF(Simulateur!$D$6&lt;Feuil2!$B$10,Feuil2!$F$10,IF(Simulateur!$D$6&gt;Feuil2!$B$12,Feuil2!$F$12,Feuil2!$F$11)),0)</f>
        <v>0</v>
      </c>
      <c r="I12" s="35">
        <f>IF(AND(Simulateur!$D$2=2,Simulateur!$D$3="non"),IF(Simulateur!$D$6&lt;Feuil2!$B$10,Feuil2!$F$10,IF(Simulateur!$D$6&gt;Feuil2!$B$12,Feuil2!$F$12,Feuil2!$F$11)),0)</f>
        <v>0</v>
      </c>
      <c r="J12" s="97"/>
      <c r="K12" s="98"/>
      <c r="N12"/>
    </row>
    <row r="13" spans="2:14" s="7" customFormat="1" x14ac:dyDescent="0.3">
      <c r="B13" s="56"/>
      <c r="C13" s="55"/>
      <c r="D13" s="55"/>
      <c r="E13" s="35">
        <f>IF(AND(Simulateur!$D$2=3,Simulateur!$D$3="oui"),IF(Simulateur!$D$6&lt;Feuil2!$C$10,Feuil2!$E$10,IF(Simulateur!$D$6&gt;Feuil2!$C$12,Feuil2!$E$12,Feuil2!$E$11)),0)</f>
        <v>0</v>
      </c>
      <c r="F13" s="35">
        <f>IF(AND(Simulateur!D2=3,Simulateur!D3="oui"),IF(Simulateur!D6&lt;Feuil2!C10,Feuil2!G10,IF(Simulateur!D6&gt;Feuil2!C12,Feuil2!G12,Feuil2!G11)),0)</f>
        <v>0</v>
      </c>
      <c r="G13" s="37"/>
      <c r="H13" s="35">
        <f>IF(AND(Simulateur!$D$2=3,Simulateur!$D$3="oui"),IF(Simulateur!$D$6&lt;Feuil2!$C$10,Feuil2!$E$10,IF(Simulateur!$D$6&gt;Feuil2!$C$12,Feuil2!$E$12,Feuil2!$E$11)),0)</f>
        <v>0</v>
      </c>
      <c r="I13" s="35">
        <f>IF(AND(Simulateur!$D$2=3,Simulateur!$D$3="oui"),IF(Simulateur!$D$6&lt;Feuil2!$C$10,Feuil2!$E$10,IF(Simulateur!$D$6&gt;Feuil2!$C$12,Feuil2!$E$12,Feuil2!$E$11)),0)</f>
        <v>0</v>
      </c>
      <c r="J13" s="97"/>
      <c r="K13" s="98"/>
      <c r="N13"/>
    </row>
    <row r="14" spans="2:14" s="7" customFormat="1" x14ac:dyDescent="0.3">
      <c r="B14" s="56"/>
      <c r="C14" s="55"/>
      <c r="D14" s="55"/>
      <c r="E14" s="35">
        <f>IF(AND(Simulateur!$D$2=3,Simulateur!$D$3="non"),IF(Simulateur!$D$6&lt;Feuil2!$C$10,Feuil2!$F$10,IF(Simulateur!$D$6&gt;Feuil2!$C$12,Feuil2!$F$12,Feuil2!$F$11)),0)</f>
        <v>0</v>
      </c>
      <c r="F14" s="35">
        <f>IF(AND(Simulateur!D2=3,Simulateur!D3="non"),IF(Simulateur!D6&lt;Feuil2!C10,Feuil2!H10,IF(Simulateur!D6&gt;Feuil2!C12,Feuil2!H12,Feuil2!H11)),0)</f>
        <v>0</v>
      </c>
      <c r="G14" s="37"/>
      <c r="H14" s="35">
        <f>IF(AND(Simulateur!$D$2=3,Simulateur!$D$3="non"),IF(Simulateur!$D$6&lt;Feuil2!$C$10,Feuil2!$F$10,IF(Simulateur!$D$6&gt;Feuil2!$C$12,Feuil2!$F$12,Feuil2!$F$11)),0)</f>
        <v>0</v>
      </c>
      <c r="I14" s="35">
        <f>IF(AND(Simulateur!$D$2=3,Simulateur!$D$3="non"),IF(Simulateur!$D$6&lt;Feuil2!$C$10,Feuil2!$F$10,IF(Simulateur!$D$6&gt;Feuil2!$C$12,Feuil2!$F$12,Feuil2!$F$11)),0)</f>
        <v>0</v>
      </c>
      <c r="J14" s="97"/>
      <c r="K14" s="98"/>
      <c r="N14"/>
    </row>
    <row r="15" spans="2:14" s="7" customFormat="1" x14ac:dyDescent="0.3">
      <c r="B15" s="56"/>
      <c r="C15" s="55"/>
      <c r="D15" s="55"/>
      <c r="E15" s="35">
        <f>IF(AND(Simulateur!$D$2&gt;=4,Simulateur!$D$3="oui"),IF(Simulateur!$D$6&lt;Feuil2!$D$10,Feuil2!$E$10,IF(Simulateur!$D$6&gt;Feuil2!$D$12,Feuil2!$E$12,Feuil2!$E$11)),0)</f>
        <v>0</v>
      </c>
      <c r="F15" s="35">
        <f>IF(AND(Simulateur!$D$2&gt;=4,Simulateur!$D$3="oui"),IF(Simulateur!$D$6&lt;Feuil2!$D$10,Feuil2!$G$10,IF(Simulateur!$D$6&gt;Feuil2!$D$12,Feuil2!$G$12,Feuil2!$G$11)),0)</f>
        <v>0</v>
      </c>
      <c r="G15" s="37"/>
      <c r="H15" s="35">
        <f>IF(AND(Simulateur!$D$2&gt;=4,Simulateur!$D$3="oui"),IF(Simulateur!$D$6&lt;Feuil2!$D$10,Feuil2!$E$10,IF(Simulateur!$D$6&gt;Feuil2!$D$12,Feuil2!$E$12,Feuil2!$E$11)),0)</f>
        <v>0</v>
      </c>
      <c r="I15" s="35">
        <f>IF(AND(Simulateur!$D$2&gt;=4,Simulateur!$D$3="oui"),IF(Simulateur!$D$6&lt;Feuil2!$D$10,Feuil2!$E$10,IF(Simulateur!$D$6&gt;Feuil2!$D$12,Feuil2!$E$12,Feuil2!$E$11)),0)</f>
        <v>0</v>
      </c>
      <c r="J15" s="97"/>
      <c r="K15" s="98"/>
      <c r="N15"/>
    </row>
    <row r="16" spans="2:14" s="7" customFormat="1" x14ac:dyDescent="0.3">
      <c r="B16" s="56"/>
      <c r="C16" s="55"/>
      <c r="D16" s="55"/>
      <c r="E16" s="35">
        <f>IF(AND(Simulateur!$D$2&gt;=4,Simulateur!$D$3="NON"),IF(Simulateur!$D$6&lt;Feuil2!$D$10,Feuil2!$F$10,IF(Simulateur!$D$6&gt;Feuil2!$D$12,Feuil2!$F$12,Feuil2!$F$11)),0)</f>
        <v>0</v>
      </c>
      <c r="F16" s="35">
        <f>IF(AND(Simulateur!$D$2&gt;=4,Simulateur!$D$3="NON"),IF(Simulateur!$D$6&lt;Feuil2!$D$10,Feuil2!$H$10,IF(Simulateur!$D$6&gt;Feuil2!$D$12,Feuil2!$H$12,Feuil2!$H$11)),0)</f>
        <v>0</v>
      </c>
      <c r="G16" s="37"/>
      <c r="H16" s="35">
        <f>IF(AND(Simulateur!$D$2&gt;=4,Simulateur!$D$3="NON"),IF(Simulateur!$D$6&lt;Feuil2!$D$10,Feuil2!$F$10,IF(Simulateur!$D$6&gt;Feuil2!$D$12,Feuil2!$F$12,Feuil2!$F$11)),0)</f>
        <v>0</v>
      </c>
      <c r="I16" s="35">
        <f>IF(AND(Simulateur!$D$2&gt;=4,Simulateur!$D$3="NON"),IF(Simulateur!$D$6&lt;Feuil2!$D$10,Feuil2!$F$10,IF(Simulateur!$D$6&gt;Feuil2!$D$12,Feuil2!$F$12,Feuil2!$F$11)),0)</f>
        <v>0</v>
      </c>
      <c r="J16" s="97"/>
      <c r="K16" s="98"/>
      <c r="N16"/>
    </row>
    <row r="17" spans="2:14" s="7" customFormat="1" x14ac:dyDescent="0.3">
      <c r="B17" s="56"/>
      <c r="C17" s="55"/>
      <c r="D17" s="55"/>
      <c r="E17" s="35"/>
      <c r="F17" s="35">
        <f>IF( Simulateur!E14&gt;=16,(F9+F10+F11+F12+F13+F14+F15+F16),0)</f>
        <v>0</v>
      </c>
      <c r="G17" s="37"/>
      <c r="H17" s="35"/>
      <c r="I17" s="99"/>
      <c r="J17" s="97"/>
      <c r="K17" s="98"/>
      <c r="N17"/>
    </row>
    <row r="18" spans="2:14" s="7" customFormat="1" x14ac:dyDescent="0.3">
      <c r="C18" s="55"/>
      <c r="D18" s="55"/>
      <c r="G18" s="97"/>
      <c r="H18" s="99">
        <f>IF(Simulateur!G27*85%&lt;(H9+H10+H11+H12+H13+H14+H15+H16),-Simulateur!G27*85%,-(H9+H10+H11+H12+H13+H14+H15+H16))</f>
        <v>-302.14999999999998</v>
      </c>
      <c r="I18" s="99">
        <f>IF(Simulateur!H27*85%&lt;(I9+I10+I11+I12+I13+I14+I15+I16),-Simulateur!H27*85%,-(I9+I10+I11+I12+I13+I14+I15+I16))</f>
        <v>-302.14999999999998</v>
      </c>
      <c r="J18" s="97"/>
      <c r="K18" s="98"/>
      <c r="N18"/>
    </row>
    <row r="20" spans="2:14" s="7" customFormat="1" x14ac:dyDescent="0.3">
      <c r="B20" s="61"/>
      <c r="C20" s="12"/>
      <c r="D20" s="12"/>
      <c r="E20" s="36">
        <f>IF((Simulateur!D2=1),IF(Simulateur!D5/12&lt;=Feuil2!A16,Feuil2!B16,IF(Simulateur!D5/12&gt;Feuil2!A18,Feuil2!B18,Feuil2!B17)),0)</f>
        <v>0</v>
      </c>
      <c r="F20" s="36">
        <f>IF((Simulateur!D2=1),IF(Simulateur!D5/12&lt;=Feuil2!A16,Feuil2!B16,IF(Simulateur!D5/12&gt;Feuil2!A18,Feuil2!B18,Feuil2!B17)),0)</f>
        <v>0</v>
      </c>
      <c r="G20" s="37"/>
      <c r="H20" s="36"/>
      <c r="I20" s="96"/>
      <c r="J20" s="97"/>
      <c r="K20" s="98"/>
      <c r="N20"/>
    </row>
    <row r="21" spans="2:14" s="7" customFormat="1" x14ac:dyDescent="0.3">
      <c r="B21" s="61"/>
      <c r="C21" s="12"/>
      <c r="D21" s="12"/>
      <c r="E21" s="36">
        <f>IF((Simulateur!D2=2),IF(Simulateur!D5/12&lt;=Feuil2!C16,Feuil2!D16,IF(Simulateur!D5/12&gt;Feuil2!C18,Feuil2!D18,Feuil2!D17)),0)</f>
        <v>0</v>
      </c>
      <c r="F21" s="36">
        <f>IF((Simulateur!D2=2),IF(Simulateur!D5/12&lt;=Feuil2!C16,Feuil2!D16,IF(Simulateur!D5/12&gt;Feuil2!C18,Feuil2!D18,Feuil2!D17)),0)</f>
        <v>0</v>
      </c>
      <c r="G21" s="37"/>
      <c r="H21" s="36"/>
      <c r="I21" s="99"/>
      <c r="J21" s="97"/>
      <c r="K21" s="98"/>
      <c r="N21"/>
    </row>
    <row r="22" spans="2:14" s="7" customFormat="1" x14ac:dyDescent="0.3">
      <c r="B22" s="61"/>
      <c r="C22" s="12"/>
      <c r="D22" s="12"/>
      <c r="E22" s="36">
        <f>IF((Simulateur!D2&gt;=3),IF(Simulateur!D5/12&lt;=Feuil2!E16,Feuil2!F16,0),0)</f>
        <v>0</v>
      </c>
      <c r="F22" s="36">
        <f>IF((Simulateur!$D$2&gt;=3),IF(Simulateur!D5/12&lt;=Feuil2!E16,Feuil2!F16,0),0)</f>
        <v>0</v>
      </c>
      <c r="G22" s="37"/>
      <c r="H22" s="36"/>
      <c r="I22" s="35"/>
      <c r="J22" s="97"/>
      <c r="K22" s="98"/>
      <c r="N22"/>
    </row>
    <row r="23" spans="2:14" s="7" customFormat="1" x14ac:dyDescent="0.3">
      <c r="B23" s="56"/>
      <c r="C23" s="55"/>
      <c r="D23" s="55"/>
      <c r="E23" s="36">
        <f>SUM(E20:E22)</f>
        <v>0</v>
      </c>
      <c r="F23" s="36">
        <f>SUM(F20:F22)</f>
        <v>0</v>
      </c>
      <c r="G23" s="37"/>
      <c r="H23" s="36"/>
      <c r="I23" s="99"/>
      <c r="J23" s="37"/>
      <c r="K23" s="70"/>
      <c r="N23"/>
    </row>
    <row r="24" spans="2:14" s="7" customFormat="1" x14ac:dyDescent="0.3">
      <c r="B24" s="61"/>
      <c r="C24" s="55"/>
      <c r="D24" s="55"/>
      <c r="E24" s="35"/>
      <c r="F24" s="35"/>
      <c r="G24" s="37"/>
      <c r="H24" s="36"/>
      <c r="I24" s="100"/>
      <c r="J24" s="97"/>
      <c r="K24" s="70"/>
      <c r="N24"/>
    </row>
    <row r="25" spans="2:14" s="7" customFormat="1" x14ac:dyDescent="0.3">
      <c r="B25" s="102"/>
      <c r="C25" s="55"/>
      <c r="D25" s="103"/>
      <c r="E25" s="38">
        <f>IF(Simulateur!D4="non",IF((Simulateur!D14+Simulateur!D15)&lt;120,0,-E23),IF((Simulateur!D14+Simulateur!D15)&lt;60,0,-E23/2))</f>
        <v>0</v>
      </c>
      <c r="F25" s="38">
        <f>IF(Simulateur!D4="non",IF((Simulateur!E14+Simulateur!E15)&lt;120,0,-F23),IF((Simulateur!E14+Simulateur!E15)&lt;60,0,-F23/2))</f>
        <v>0</v>
      </c>
      <c r="G25" s="52"/>
      <c r="H25" s="39"/>
      <c r="I25" s="100"/>
      <c r="J25" s="101"/>
      <c r="K25" s="70"/>
      <c r="N25"/>
    </row>
    <row r="26" spans="2:14" s="7" customFormat="1" x14ac:dyDescent="0.3">
      <c r="B26" s="61"/>
      <c r="C26" s="12"/>
      <c r="D26" s="104"/>
      <c r="E26" s="39" t="e">
        <f>IF(Simulateur!#REF!="oui",E25,0)</f>
        <v>#REF!</v>
      </c>
      <c r="F26" s="39" t="e">
        <f>IF(Simulateur!#REF!="oui",F25,0)</f>
        <v>#REF!</v>
      </c>
      <c r="G26" s="52"/>
      <c r="H26" s="39"/>
      <c r="I26" s="100"/>
      <c r="J26" s="101"/>
      <c r="K26" s="70"/>
      <c r="N26"/>
    </row>
    <row r="28" spans="2:14" s="7" customFormat="1" x14ac:dyDescent="0.3">
      <c r="B28" s="61"/>
      <c r="C28" s="106"/>
      <c r="D28" s="107"/>
      <c r="E28" s="40"/>
      <c r="F28" s="40"/>
      <c r="G28" s="27"/>
      <c r="H28" s="40"/>
      <c r="I28" s="108"/>
      <c r="J28" s="101"/>
      <c r="K28" s="109">
        <f>IF((Simulateur!D2=1),IF(Simulateur!D5/12*Feuil2!D37&gt;Feuil2!B37,Feuil2!B37*Simulateur!J15,IF(Simulateur!D5/12*Feuil2!D37&lt;Feuil2!C37,Feuil2!C37*Simulateur!J15,Simulateur!D5/12*Feuil2!D37*Simulateur!J15)),0)</f>
        <v>513.85</v>
      </c>
      <c r="N28"/>
    </row>
    <row r="29" spans="2:14" s="7" customFormat="1" x14ac:dyDescent="0.3">
      <c r="B29" s="110"/>
      <c r="C29" s="106"/>
      <c r="D29" s="107"/>
      <c r="E29" s="40"/>
      <c r="F29" s="40"/>
      <c r="G29" s="27"/>
      <c r="H29" s="40"/>
      <c r="I29" s="108"/>
      <c r="J29" s="19"/>
      <c r="K29" s="109">
        <f>IF((Simulateur!D2=2),IF(Simulateur!D5/12*Feuil2!D38&gt;Feuil2!B38,Feuil2!B38*Simulateur!J15,IF(Simulateur!D5/12*Feuil2!D38&lt;Feuil2!C38,Feuil2!C38*Simulateur!J15,Simulateur!D5/12*Feuil2!D38*Simulateur!J15)),0)</f>
        <v>0</v>
      </c>
      <c r="N29"/>
    </row>
    <row r="30" spans="2:14" s="7" customFormat="1" ht="11" x14ac:dyDescent="0.25">
      <c r="B30" s="110"/>
      <c r="C30" s="106"/>
      <c r="D30" s="107"/>
      <c r="E30" s="40"/>
      <c r="F30" s="40"/>
      <c r="G30" s="27"/>
      <c r="H30" s="40"/>
      <c r="I30" s="108"/>
      <c r="J30" s="19"/>
      <c r="K30" s="109">
        <f>IF((Simulateur!D2=3),IF(Simulateur!D5/12*Feuil2!D39&gt;Feuil2!B39,Feuil2!B39*Simulateur!J15,IF(Simulateur!D5/12*Feuil2!D39&lt;Feuil2!C39,Feuil2!C39*Simulateur!J15,Simulateur!D5/12*Feuil2!D39*Simulateur!J15)),0)</f>
        <v>0</v>
      </c>
    </row>
    <row r="31" spans="2:14" s="7" customFormat="1" ht="11" x14ac:dyDescent="0.25">
      <c r="B31" s="110"/>
      <c r="C31" s="106"/>
      <c r="D31" s="107"/>
      <c r="E31" s="40"/>
      <c r="F31" s="40"/>
      <c r="G31" s="27"/>
      <c r="H31" s="40"/>
      <c r="I31" s="108"/>
      <c r="J31" s="19"/>
      <c r="K31" s="109">
        <f>IF((Simulateur!D2&gt;3),IF(Simulateur!D5/12*Feuil2!D40&gt;Feuil2!B40,Feuil2!B40*Simulateur!J15,IF(Simulateur!D5/12*Feuil2!D40&lt;Feuil2!C40,Feuil2!C40*Simulateur!J15,Simulateur!D5/12*Feuil2!D40*Simulateur!J15)),0)</f>
        <v>0</v>
      </c>
    </row>
    <row r="32" spans="2:14" ht="15" customHeight="1" x14ac:dyDescent="0.3"/>
    <row r="33" spans="2:11" s="7" customFormat="1" ht="11" x14ac:dyDescent="0.25">
      <c r="B33" s="66"/>
      <c r="C33" s="12"/>
      <c r="D33" s="12"/>
      <c r="E33" s="32"/>
      <c r="F33" s="32"/>
      <c r="G33" s="27"/>
      <c r="H33" s="116">
        <f>Simulateur!G60-Simulateur!G13*Simulateur!G19+Simulateur!G13*2.65</f>
        <v>3791.62</v>
      </c>
      <c r="I33" s="116">
        <f>Simulateur!H60-Simulateur!H13*Simulateur!H19+Simulateur!H13*2.65</f>
        <v>8349.36</v>
      </c>
      <c r="J33" s="115"/>
      <c r="K33" s="116"/>
    </row>
    <row r="34" spans="2:11" s="7" customFormat="1" ht="11" x14ac:dyDescent="0.25">
      <c r="B34" s="117" t="s">
        <v>7</v>
      </c>
      <c r="C34" s="106"/>
      <c r="D34" s="106"/>
      <c r="E34" s="50">
        <f>Simulateur!D8</f>
        <v>4000</v>
      </c>
      <c r="F34" s="50">
        <f>Simulateur!D8</f>
        <v>4000</v>
      </c>
      <c r="G34" s="24"/>
      <c r="H34" s="50">
        <f>Simulateur!D8</f>
        <v>4000</v>
      </c>
      <c r="I34" s="50">
        <f>Simulateur!D8</f>
        <v>4000</v>
      </c>
      <c r="J34" s="115"/>
      <c r="K34" s="50">
        <f>Simulateur!D8</f>
        <v>4000</v>
      </c>
    </row>
    <row r="35" spans="2:11" s="7" customFormat="1" ht="11" x14ac:dyDescent="0.25">
      <c r="B35" s="57" t="s">
        <v>32</v>
      </c>
      <c r="C35" s="11"/>
      <c r="D35" s="11"/>
      <c r="E35" s="49">
        <f>IF((Simulateur!D2=1),IF(Simulateur!D60&gt;Feuil2!F21,-Feuil2!F21/2,-(Simulateur!D60)/2),IF((Simulateur!D60)&gt;Feuil2!F22,-Feuil2!F22/2,-(Simulateur!D60)/2))</f>
        <v>-6750</v>
      </c>
      <c r="F35" s="49">
        <f>IF((Simulateur!D2=1),IF(Simulateur!E60&gt;Feuil2!F21,-Feuil2!F21/2,-Simulateur!E60/2),IF(Simulateur!E60&gt;Feuil2!F22,-Feuil2!F22/2,-Simulateur!E60/2))</f>
        <v>0</v>
      </c>
      <c r="G35" s="37"/>
      <c r="H35" s="118">
        <f>IF(H33&gt;Feuil2!C27,-(Feuil2!C27)/2,-H33/2)</f>
        <v>-1150</v>
      </c>
      <c r="I35" s="118">
        <f>IF(I33&gt;Feuil2!C27,-(Feuil2!C27)/2,-I33/2)</f>
        <v>-1150</v>
      </c>
      <c r="J35" s="24"/>
      <c r="K35" s="118">
        <f>IF(Simulateur!J60&gt;Feuil2!C27,-(Feuil2!C27)/2,-Simulateur!J60/2)</f>
        <v>-1150</v>
      </c>
    </row>
    <row r="36" spans="2:11" s="7" customFormat="1" ht="11" x14ac:dyDescent="0.25">
      <c r="B36" s="61"/>
      <c r="C36" s="55"/>
      <c r="D36" s="55"/>
      <c r="E36" s="35">
        <f>IF(-E35&gt;E34,E34,-E35)</f>
        <v>4000</v>
      </c>
      <c r="F36" s="35">
        <f>IF(-F35&gt;F34,F34,-F35)</f>
        <v>0</v>
      </c>
      <c r="G36" s="37"/>
      <c r="H36" s="36"/>
      <c r="I36" s="36"/>
      <c r="J36" s="119"/>
      <c r="K36" s="36"/>
    </row>
    <row r="37" spans="2:11" s="7" customFormat="1" ht="11" x14ac:dyDescent="0.25">
      <c r="B37" s="102" t="s">
        <v>42</v>
      </c>
      <c r="C37" s="12"/>
      <c r="D37" s="12"/>
      <c r="E37" s="36">
        <f>-E36</f>
        <v>-4000</v>
      </c>
      <c r="F37" s="36">
        <f>-F36</f>
        <v>0</v>
      </c>
      <c r="G37" s="37"/>
      <c r="H37" s="36"/>
      <c r="I37" s="36"/>
      <c r="J37" s="37"/>
      <c r="K37" s="36"/>
    </row>
  </sheetData>
  <sheetProtection password="E32B" sheet="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8"/>
  <sheetViews>
    <sheetView workbookViewId="0">
      <selection activeCell="G19" sqref="G19"/>
    </sheetView>
  </sheetViews>
  <sheetFormatPr baseColWidth="10" defaultRowHeight="14" x14ac:dyDescent="0.3"/>
  <cols>
    <col min="1" max="1" width="23.453125" customWidth="1"/>
    <col min="5" max="5" width="11.54296875" bestFit="1" customWidth="1"/>
    <col min="7" max="7" width="11.54296875" bestFit="1" customWidth="1"/>
  </cols>
  <sheetData>
    <row r="1" spans="1:10" x14ac:dyDescent="0.3">
      <c r="A1" t="s">
        <v>131</v>
      </c>
      <c r="B1" s="153">
        <f>Simulateur!D18</f>
        <v>1893.12</v>
      </c>
      <c r="C1">
        <f>Simulateur!D15*ROUND(Simulateur!D12*125%,2)</f>
        <v>0</v>
      </c>
    </row>
    <row r="2" spans="1:10" x14ac:dyDescent="0.3">
      <c r="A2" s="277" t="s">
        <v>132</v>
      </c>
      <c r="B2" s="447">
        <f>E28</f>
        <v>0.44369999999999998</v>
      </c>
    </row>
    <row r="3" spans="1:10" ht="14.5" thickBot="1" x14ac:dyDescent="0.35">
      <c r="A3" s="277" t="s">
        <v>134</v>
      </c>
      <c r="B3" s="447">
        <f>G28</f>
        <v>0.21879999999999999</v>
      </c>
    </row>
    <row r="4" spans="1:10" x14ac:dyDescent="0.3">
      <c r="A4" s="297" t="s">
        <v>113</v>
      </c>
      <c r="B4" s="298"/>
      <c r="C4" s="299"/>
      <c r="D4" s="300">
        <f>$B$1*98.25%</f>
        <v>1859.99</v>
      </c>
      <c r="E4" s="301"/>
      <c r="F4" s="302"/>
      <c r="G4" s="472">
        <v>6.8000000000000005E-2</v>
      </c>
      <c r="H4" s="303">
        <f>D4*G4</f>
        <v>126.48</v>
      </c>
    </row>
    <row r="5" spans="1:10" x14ac:dyDescent="0.3">
      <c r="A5" s="278" t="s">
        <v>114</v>
      </c>
      <c r="B5" s="279"/>
      <c r="C5" s="280"/>
      <c r="D5" s="281">
        <f>$B$1*98.25%</f>
        <v>1859.99</v>
      </c>
      <c r="E5" s="282"/>
      <c r="F5" s="283"/>
      <c r="G5" s="444">
        <v>2.4E-2</v>
      </c>
      <c r="H5" s="285">
        <f>D5*G5</f>
        <v>44.64</v>
      </c>
    </row>
    <row r="6" spans="1:10" x14ac:dyDescent="0.3">
      <c r="A6" s="278" t="s">
        <v>115</v>
      </c>
      <c r="B6" s="279"/>
      <c r="C6" s="280"/>
      <c r="D6" s="281">
        <f>$B$1*98.25%</f>
        <v>1859.99</v>
      </c>
      <c r="E6" s="455"/>
      <c r="F6" s="456"/>
      <c r="G6" s="444">
        <v>5.0000000000000001E-3</v>
      </c>
      <c r="H6" s="285">
        <f>D6*G6</f>
        <v>9.3000000000000007</v>
      </c>
    </row>
    <row r="7" spans="1:10" x14ac:dyDescent="0.3">
      <c r="A7" s="278" t="s">
        <v>116</v>
      </c>
      <c r="B7" s="279"/>
      <c r="C7" s="280"/>
      <c r="D7" s="281">
        <f>$B$1</f>
        <v>1893.12</v>
      </c>
      <c r="E7" s="444">
        <v>0.13</v>
      </c>
      <c r="F7" s="456">
        <f>ROUND(D7*E7,2)</f>
        <v>246.11</v>
      </c>
      <c r="G7" s="444">
        <v>0</v>
      </c>
      <c r="H7" s="285">
        <f t="shared" ref="H7:H18" si="0">D7*G7</f>
        <v>0</v>
      </c>
    </row>
    <row r="8" spans="1:10" x14ac:dyDescent="0.3">
      <c r="A8" s="278" t="s">
        <v>117</v>
      </c>
      <c r="B8" s="279"/>
      <c r="C8" s="280"/>
      <c r="D8" s="281">
        <f t="shared" ref="D8:D22" si="1">$B$1</f>
        <v>1893.12</v>
      </c>
      <c r="E8" s="444">
        <v>8.5500000000000007E-2</v>
      </c>
      <c r="F8" s="456">
        <f t="shared" ref="F8:F21" si="2">ROUND(D8*E8,2)</f>
        <v>161.86000000000001</v>
      </c>
      <c r="G8" s="444">
        <v>6.9000000000000006E-2</v>
      </c>
      <c r="H8" s="285">
        <f t="shared" si="0"/>
        <v>130.63</v>
      </c>
    </row>
    <row r="9" spans="1:10" x14ac:dyDescent="0.3">
      <c r="A9" s="278"/>
      <c r="B9" s="279"/>
      <c r="C9" s="280"/>
      <c r="D9" s="281">
        <f t="shared" si="1"/>
        <v>1893.12</v>
      </c>
      <c r="E9" s="444">
        <v>1.9E-2</v>
      </c>
      <c r="F9" s="456">
        <f t="shared" si="2"/>
        <v>35.97</v>
      </c>
      <c r="G9" s="444">
        <v>4.0000000000000001E-3</v>
      </c>
      <c r="H9" s="285">
        <f t="shared" si="0"/>
        <v>7.57</v>
      </c>
      <c r="I9" s="478">
        <f>SUM(H8:H9)</f>
        <v>138.19999999999999</v>
      </c>
    </row>
    <row r="10" spans="1:10" x14ac:dyDescent="0.3">
      <c r="A10" s="278" t="s">
        <v>118</v>
      </c>
      <c r="B10" s="279"/>
      <c r="C10" s="280"/>
      <c r="D10" s="281">
        <f t="shared" si="1"/>
        <v>1893.12</v>
      </c>
      <c r="E10" s="444">
        <v>4.7199999999999999E-2</v>
      </c>
      <c r="F10" s="456">
        <f t="shared" si="2"/>
        <v>89.36</v>
      </c>
      <c r="G10" s="444">
        <v>3.15E-2</v>
      </c>
      <c r="H10" s="285">
        <f t="shared" si="0"/>
        <v>59.63</v>
      </c>
    </row>
    <row r="11" spans="1:10" x14ac:dyDescent="0.3">
      <c r="A11" s="278" t="s">
        <v>119</v>
      </c>
      <c r="B11" s="279"/>
      <c r="C11" s="280"/>
      <c r="D11" s="281">
        <f t="shared" si="1"/>
        <v>1893.12</v>
      </c>
      <c r="E11" s="444">
        <v>4.0500000000000001E-2</v>
      </c>
      <c r="F11" s="456">
        <f t="shared" si="2"/>
        <v>76.67</v>
      </c>
      <c r="G11" s="444"/>
      <c r="H11" s="285">
        <f t="shared" si="0"/>
        <v>0</v>
      </c>
    </row>
    <row r="12" spans="1:10" x14ac:dyDescent="0.3">
      <c r="A12" s="278" t="s">
        <v>120</v>
      </c>
      <c r="B12" s="279"/>
      <c r="C12" s="280"/>
      <c r="D12" s="281">
        <f t="shared" si="1"/>
        <v>1893.12</v>
      </c>
      <c r="E12" s="444">
        <v>1.29E-2</v>
      </c>
      <c r="F12" s="456">
        <f t="shared" si="2"/>
        <v>24.42</v>
      </c>
      <c r="G12" s="444">
        <v>8.6E-3</v>
      </c>
      <c r="H12" s="285">
        <f t="shared" si="0"/>
        <v>16.28</v>
      </c>
    </row>
    <row r="13" spans="1:10" s="483" customFormat="1" x14ac:dyDescent="0.3">
      <c r="A13" s="287" t="s">
        <v>150</v>
      </c>
      <c r="B13" s="288"/>
      <c r="C13" s="479"/>
      <c r="D13" s="480">
        <f>C1</f>
        <v>0</v>
      </c>
      <c r="E13" s="481"/>
      <c r="F13" s="482"/>
      <c r="G13" s="481">
        <v>0.11310000000000001</v>
      </c>
      <c r="H13" s="289">
        <f>-IF(I9&lt;I13,I9,I13)</f>
        <v>0</v>
      </c>
      <c r="I13" s="483">
        <f>ROUND(D13*G13,2)</f>
        <v>0</v>
      </c>
    </row>
    <row r="14" spans="1:10" x14ac:dyDescent="0.3">
      <c r="A14" s="278" t="s">
        <v>121</v>
      </c>
      <c r="B14" s="280"/>
      <c r="C14" s="280"/>
      <c r="D14" s="281">
        <f t="shared" si="1"/>
        <v>1893.12</v>
      </c>
      <c r="E14" s="444">
        <v>5.2499999999999998E-2</v>
      </c>
      <c r="F14" s="456">
        <f t="shared" si="2"/>
        <v>99.39</v>
      </c>
      <c r="G14" s="444"/>
      <c r="H14" s="285">
        <f t="shared" si="0"/>
        <v>0</v>
      </c>
    </row>
    <row r="15" spans="1:10" x14ac:dyDescent="0.3">
      <c r="A15" s="278" t="s">
        <v>122</v>
      </c>
      <c r="B15" s="280"/>
      <c r="C15" s="280"/>
      <c r="D15" s="281">
        <f t="shared" si="1"/>
        <v>1893.12</v>
      </c>
      <c r="E15" s="444">
        <v>2.4899999999999999E-2</v>
      </c>
      <c r="F15" s="456">
        <f t="shared" si="2"/>
        <v>47.14</v>
      </c>
      <c r="G15" s="444"/>
      <c r="H15" s="285">
        <f t="shared" si="0"/>
        <v>0</v>
      </c>
      <c r="J15" s="458"/>
    </row>
    <row r="16" spans="1:10" x14ac:dyDescent="0.3">
      <c r="A16" s="278" t="s">
        <v>123</v>
      </c>
      <c r="B16" s="280"/>
      <c r="C16" s="280"/>
      <c r="D16" s="281">
        <f t="shared" si="1"/>
        <v>1893.12</v>
      </c>
      <c r="E16" s="444">
        <v>1E-3</v>
      </c>
      <c r="F16" s="456">
        <f t="shared" si="2"/>
        <v>1.89</v>
      </c>
      <c r="G16" s="444"/>
      <c r="H16" s="285">
        <f t="shared" si="0"/>
        <v>0</v>
      </c>
    </row>
    <row r="17" spans="1:8" x14ac:dyDescent="0.3">
      <c r="A17" s="278" t="s">
        <v>157</v>
      </c>
      <c r="B17" s="280"/>
      <c r="C17" s="280"/>
      <c r="D17" s="281">
        <f>B1</f>
        <v>1893.12</v>
      </c>
      <c r="E17" s="444">
        <v>6.0000000000000001E-3</v>
      </c>
      <c r="F17" s="456">
        <f t="shared" si="2"/>
        <v>11.36</v>
      </c>
      <c r="G17" s="444"/>
      <c r="H17" s="285">
        <f t="shared" si="0"/>
        <v>0</v>
      </c>
    </row>
    <row r="18" spans="1:8" x14ac:dyDescent="0.3">
      <c r="A18" s="278" t="s">
        <v>124</v>
      </c>
      <c r="B18" s="279"/>
      <c r="C18" s="280"/>
      <c r="D18" s="281">
        <f t="shared" si="1"/>
        <v>1893.12</v>
      </c>
      <c r="E18" s="444">
        <v>1.55E-2</v>
      </c>
      <c r="F18" s="456">
        <f t="shared" si="2"/>
        <v>29.34</v>
      </c>
      <c r="G18" s="444">
        <v>1.04E-2</v>
      </c>
      <c r="H18" s="285">
        <f t="shared" si="0"/>
        <v>19.690000000000001</v>
      </c>
    </row>
    <row r="19" spans="1:8" x14ac:dyDescent="0.3">
      <c r="A19" s="278" t="s">
        <v>125</v>
      </c>
      <c r="B19" s="280"/>
      <c r="C19" s="280"/>
      <c r="D19" s="281">
        <f t="shared" si="1"/>
        <v>1893.12</v>
      </c>
      <c r="E19" s="444">
        <v>5.4999999999999997E-3</v>
      </c>
      <c r="F19" s="283">
        <f t="shared" si="2"/>
        <v>10.41</v>
      </c>
      <c r="G19" s="284"/>
      <c r="H19" s="285"/>
    </row>
    <row r="20" spans="1:8" x14ac:dyDescent="0.3">
      <c r="A20" s="278" t="s">
        <v>126</v>
      </c>
      <c r="B20" s="280"/>
      <c r="C20" s="280"/>
      <c r="D20" s="281">
        <f t="shared" si="1"/>
        <v>1893.12</v>
      </c>
      <c r="E20" s="444">
        <v>1.6000000000000001E-4</v>
      </c>
      <c r="F20" s="283">
        <f t="shared" si="2"/>
        <v>0.3</v>
      </c>
      <c r="G20" s="284"/>
      <c r="H20" s="285"/>
    </row>
    <row r="21" spans="1:8" x14ac:dyDescent="0.3">
      <c r="A21" s="278" t="s">
        <v>127</v>
      </c>
      <c r="B21" s="280"/>
      <c r="C21" s="280"/>
      <c r="D21" s="281">
        <f t="shared" si="1"/>
        <v>1893.12</v>
      </c>
      <c r="E21" s="444">
        <v>3.0000000000000001E-3</v>
      </c>
      <c r="F21" s="283">
        <f t="shared" si="2"/>
        <v>5.68</v>
      </c>
      <c r="G21" s="282"/>
      <c r="H21" s="285"/>
    </row>
    <row r="22" spans="1:8" x14ac:dyDescent="0.3">
      <c r="A22" s="287" t="s">
        <v>128</v>
      </c>
      <c r="B22" s="288"/>
      <c r="C22" s="280"/>
      <c r="D22" s="281">
        <f t="shared" si="1"/>
        <v>1893.12</v>
      </c>
      <c r="E22" s="282"/>
      <c r="F22" s="289">
        <f>(SUM(F7:F21))</f>
        <v>839.9</v>
      </c>
      <c r="G22" s="282"/>
      <c r="H22" s="289">
        <f>SUM(H4:H18)</f>
        <v>414.22</v>
      </c>
    </row>
    <row r="23" spans="1:8" x14ac:dyDescent="0.3">
      <c r="A23" s="287" t="s">
        <v>129</v>
      </c>
      <c r="B23" s="288"/>
      <c r="C23" s="280"/>
      <c r="D23" s="281"/>
      <c r="E23" s="282"/>
      <c r="F23" s="290">
        <f>'1'!E37</f>
        <v>314</v>
      </c>
      <c r="G23" s="282"/>
      <c r="H23" s="289"/>
    </row>
    <row r="24" spans="1:8" ht="14.5" thickBot="1" x14ac:dyDescent="0.35">
      <c r="A24" s="291" t="s">
        <v>130</v>
      </c>
      <c r="B24" s="292"/>
      <c r="C24" s="293"/>
      <c r="D24" s="294"/>
      <c r="E24" s="295"/>
      <c r="F24" s="296">
        <f>F22-F23</f>
        <v>525.9</v>
      </c>
      <c r="G24" s="295"/>
      <c r="H24" s="296"/>
    </row>
    <row r="25" spans="1:8" x14ac:dyDescent="0.3">
      <c r="G25" s="446">
        <f>SUM(G7:G9)</f>
        <v>7.2999999999999995E-2</v>
      </c>
    </row>
    <row r="26" spans="1:8" x14ac:dyDescent="0.3">
      <c r="A26" s="451" t="s">
        <v>135</v>
      </c>
      <c r="E26" s="446">
        <f>SUM(E7:E9,E14:E15)</f>
        <v>0.31190000000000001</v>
      </c>
      <c r="G26" s="446">
        <f>SUM(G10:G12)+G18</f>
        <v>5.0500000000000003E-2</v>
      </c>
    </row>
    <row r="27" spans="1:8" ht="14.5" thickBot="1" x14ac:dyDescent="0.35">
      <c r="A27" s="451" t="s">
        <v>136</v>
      </c>
      <c r="E27" s="446">
        <f>SUM(E10:E12,E16:E21)</f>
        <v>0.13175999999999999</v>
      </c>
      <c r="G27" s="446">
        <f>SUM(G25:G26)</f>
        <v>0.1235</v>
      </c>
    </row>
    <row r="28" spans="1:8" ht="14.5" thickBot="1" x14ac:dyDescent="0.35">
      <c r="D28" s="452" t="s">
        <v>138</v>
      </c>
      <c r="E28" s="453">
        <f>SUM(E26:E27)</f>
        <v>0.44369999999999998</v>
      </c>
      <c r="G28" s="454">
        <f>SUM(G4:G6)*98.25%+G27</f>
        <v>0.21879999999999999</v>
      </c>
    </row>
  </sheetData>
  <sheetProtection algorithmName="SHA-512" hashValue="GC7SGBPb3wO3zcVl6SAeVsl95rLYy7xsvtzNHdDWo/p0RxfzPzEhb+USENrGwNc67/Bma/S+82NVO7UdC20Ryw==" saltValue="jjB9kuVFkQ0nCKyIr7HzlQ==" spinCount="100000" sheet="1" objects="1" scenario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A31" sqref="A31"/>
    </sheetView>
  </sheetViews>
  <sheetFormatPr baseColWidth="10" defaultRowHeight="14" x14ac:dyDescent="0.3"/>
  <cols>
    <col min="1" max="1" width="24.26953125" customWidth="1"/>
    <col min="7" max="7" width="11.54296875" bestFit="1" customWidth="1"/>
  </cols>
  <sheetData>
    <row r="1" spans="1:18" x14ac:dyDescent="0.3">
      <c r="A1" s="277" t="s">
        <v>131</v>
      </c>
      <c r="B1" s="153">
        <f>Simulateur!G18</f>
        <v>784.4</v>
      </c>
      <c r="C1">
        <f>(Simulateur!G12*Simulateur!G16)+ROUND(Simulateur!G15*Simulateur!G12*(1+Simulateur!G17),2)</f>
        <v>4.4000000000000004</v>
      </c>
      <c r="K1" s="277" t="s">
        <v>131</v>
      </c>
      <c r="L1" s="153">
        <f>Simulateur!H18</f>
        <v>1193.5</v>
      </c>
    </row>
    <row r="2" spans="1:18" x14ac:dyDescent="0.3">
      <c r="A2" s="277"/>
    </row>
    <row r="3" spans="1:18" x14ac:dyDescent="0.3">
      <c r="C3" s="277"/>
      <c r="O3" s="458"/>
    </row>
    <row r="5" spans="1:18" ht="14.5" thickBot="1" x14ac:dyDescent="0.35"/>
    <row r="6" spans="1:18" ht="14.5" thickBot="1" x14ac:dyDescent="0.35">
      <c r="A6" s="297" t="s">
        <v>113</v>
      </c>
      <c r="B6" s="298"/>
      <c r="C6" s="299"/>
      <c r="D6" s="300">
        <f>$B$1*98.25%</f>
        <v>770.67</v>
      </c>
      <c r="E6" s="301"/>
      <c r="F6" s="302"/>
      <c r="G6" s="459">
        <v>6.8000000000000005E-2</v>
      </c>
      <c r="H6" s="305">
        <f>D6*G6</f>
        <v>52.41</v>
      </c>
      <c r="K6" s="297" t="s">
        <v>113</v>
      </c>
      <c r="L6" s="298"/>
      <c r="M6" s="299"/>
      <c r="N6" s="300">
        <f>$L$1*98.25%</f>
        <v>1172.6099999999999</v>
      </c>
      <c r="O6" s="301"/>
      <c r="P6" s="302"/>
      <c r="Q6" s="459">
        <v>6.8000000000000005E-2</v>
      </c>
      <c r="R6" s="305">
        <f>N6*Q6</f>
        <v>79.739999999999995</v>
      </c>
    </row>
    <row r="7" spans="1:18" ht="14.5" thickBot="1" x14ac:dyDescent="0.35">
      <c r="A7" s="278" t="s">
        <v>114</v>
      </c>
      <c r="B7" s="279"/>
      <c r="C7" s="280"/>
      <c r="D7" s="281">
        <f>$B$1*98.25%</f>
        <v>770.67</v>
      </c>
      <c r="E7" s="282"/>
      <c r="F7" s="283"/>
      <c r="G7" s="284">
        <v>2.4E-2</v>
      </c>
      <c r="H7" s="304">
        <f>D7*G7</f>
        <v>18.5</v>
      </c>
      <c r="K7" s="278" t="s">
        <v>114</v>
      </c>
      <c r="L7" s="279"/>
      <c r="M7" s="280"/>
      <c r="N7" s="300">
        <f>$L$1*98.25%</f>
        <v>1172.6099999999999</v>
      </c>
      <c r="O7" s="282"/>
      <c r="P7" s="283"/>
      <c r="Q7" s="284">
        <v>2.4E-2</v>
      </c>
      <c r="R7" s="304">
        <f>N7*Q7</f>
        <v>28.14</v>
      </c>
    </row>
    <row r="8" spans="1:18" x14ac:dyDescent="0.3">
      <c r="A8" s="278" t="s">
        <v>115</v>
      </c>
      <c r="B8" s="279"/>
      <c r="C8" s="280"/>
      <c r="D8" s="281">
        <f>$B$1*98.25%</f>
        <v>770.67</v>
      </c>
      <c r="E8" s="455"/>
      <c r="F8" s="456"/>
      <c r="G8" s="444">
        <v>5.0000000000000001E-3</v>
      </c>
      <c r="H8" s="457">
        <f>D8*G8</f>
        <v>3.85</v>
      </c>
      <c r="K8" s="278" t="s">
        <v>115</v>
      </c>
      <c r="L8" s="279"/>
      <c r="M8" s="280"/>
      <c r="N8" s="300">
        <f>$L$1*98.25%</f>
        <v>1172.6099999999999</v>
      </c>
      <c r="O8" s="455"/>
      <c r="P8" s="456"/>
      <c r="Q8" s="444">
        <v>5.0000000000000001E-3</v>
      </c>
      <c r="R8" s="457">
        <f>N8*Q8</f>
        <v>5.86</v>
      </c>
    </row>
    <row r="9" spans="1:18" x14ac:dyDescent="0.3">
      <c r="A9" s="278" t="s">
        <v>116</v>
      </c>
      <c r="B9" s="279"/>
      <c r="C9" s="280"/>
      <c r="D9" s="281">
        <f>$B$1</f>
        <v>784.4</v>
      </c>
      <c r="E9" s="443">
        <v>0.13</v>
      </c>
      <c r="F9" s="456">
        <f>ROUND(D9*E9,2)</f>
        <v>101.97</v>
      </c>
      <c r="G9" s="443">
        <v>0</v>
      </c>
      <c r="H9" s="457">
        <f t="shared" ref="H9:H19" si="0">D9*G9</f>
        <v>0</v>
      </c>
      <c r="K9" s="278" t="s">
        <v>116</v>
      </c>
      <c r="L9" s="279"/>
      <c r="M9" s="280"/>
      <c r="N9" s="281">
        <f t="shared" ref="N9:N24" si="1">$L$1</f>
        <v>1193.5</v>
      </c>
      <c r="O9" s="443">
        <v>0.13</v>
      </c>
      <c r="P9" s="456">
        <f>ROUND(N9*O9,2)</f>
        <v>155.16</v>
      </c>
      <c r="Q9" s="443">
        <v>0</v>
      </c>
      <c r="R9" s="457">
        <f t="shared" ref="R9:R19" si="2">N9*Q9</f>
        <v>0</v>
      </c>
    </row>
    <row r="10" spans="1:18" x14ac:dyDescent="0.3">
      <c r="A10" s="278" t="s">
        <v>117</v>
      </c>
      <c r="B10" s="279"/>
      <c r="C10" s="280"/>
      <c r="D10" s="281">
        <f t="shared" ref="D10:D24" si="3">$B$1</f>
        <v>784.4</v>
      </c>
      <c r="E10" s="444">
        <v>8.5500000000000007E-2</v>
      </c>
      <c r="F10" s="456">
        <f>ROUND(D10*E10,2)</f>
        <v>67.069999999999993</v>
      </c>
      <c r="G10" s="444">
        <v>6.9000000000000006E-2</v>
      </c>
      <c r="H10" s="457">
        <f t="shared" si="0"/>
        <v>54.12</v>
      </c>
      <c r="I10" s="478">
        <f>H10:H11</f>
        <v>54.12</v>
      </c>
      <c r="K10" s="278" t="s">
        <v>117</v>
      </c>
      <c r="L10" s="279"/>
      <c r="M10" s="280"/>
      <c r="N10" s="281">
        <f t="shared" si="1"/>
        <v>1193.5</v>
      </c>
      <c r="O10" s="444">
        <v>8.5500000000000007E-2</v>
      </c>
      <c r="P10" s="456">
        <f>ROUND(N10*O10,2)</f>
        <v>102.04</v>
      </c>
      <c r="Q10" s="444">
        <v>6.9000000000000006E-2</v>
      </c>
      <c r="R10" s="457">
        <f t="shared" si="2"/>
        <v>82.35</v>
      </c>
    </row>
    <row r="11" spans="1:18" x14ac:dyDescent="0.3">
      <c r="A11" s="286"/>
      <c r="B11" s="279"/>
      <c r="C11" s="280"/>
      <c r="D11" s="281">
        <f t="shared" si="3"/>
        <v>784.4</v>
      </c>
      <c r="E11" s="444">
        <v>1.9E-2</v>
      </c>
      <c r="F11" s="456">
        <f t="shared" ref="F11:F23" si="4">ROUND(D11*E11,2)</f>
        <v>14.9</v>
      </c>
      <c r="G11" s="444">
        <v>4.0000000000000001E-3</v>
      </c>
      <c r="H11" s="457">
        <f t="shared" si="0"/>
        <v>3.14</v>
      </c>
      <c r="K11" s="286"/>
      <c r="L11" s="279"/>
      <c r="M11" s="280"/>
      <c r="N11" s="281">
        <f t="shared" si="1"/>
        <v>1193.5</v>
      </c>
      <c r="O11" s="444">
        <v>1.9E-2</v>
      </c>
      <c r="P11" s="456">
        <f t="shared" ref="P11:P23" si="5">ROUND(N11*O11,2)</f>
        <v>22.68</v>
      </c>
      <c r="Q11" s="444">
        <v>4.0000000000000001E-3</v>
      </c>
      <c r="R11" s="457">
        <f t="shared" si="2"/>
        <v>4.7699999999999996</v>
      </c>
    </row>
    <row r="12" spans="1:18" x14ac:dyDescent="0.3">
      <c r="A12" s="278" t="s">
        <v>118</v>
      </c>
      <c r="B12" s="279"/>
      <c r="C12" s="280"/>
      <c r="D12" s="281">
        <f t="shared" si="3"/>
        <v>784.4</v>
      </c>
      <c r="E12" s="443">
        <v>4.7199999999999999E-2</v>
      </c>
      <c r="F12" s="456">
        <f t="shared" si="4"/>
        <v>37.020000000000003</v>
      </c>
      <c r="G12" s="444">
        <v>3.15E-2</v>
      </c>
      <c r="H12" s="457">
        <f t="shared" si="0"/>
        <v>24.71</v>
      </c>
      <c r="K12" s="278" t="s">
        <v>118</v>
      </c>
      <c r="L12" s="279"/>
      <c r="M12" s="280"/>
      <c r="N12" s="281">
        <f t="shared" si="1"/>
        <v>1193.5</v>
      </c>
      <c r="O12" s="443">
        <v>4.7199999999999999E-2</v>
      </c>
      <c r="P12" s="456">
        <f t="shared" si="5"/>
        <v>56.33</v>
      </c>
      <c r="Q12" s="444">
        <v>3.15E-2</v>
      </c>
      <c r="R12" s="457">
        <f t="shared" si="2"/>
        <v>37.6</v>
      </c>
    </row>
    <row r="13" spans="1:18" x14ac:dyDescent="0.3">
      <c r="A13" s="278" t="s">
        <v>119</v>
      </c>
      <c r="B13" s="279"/>
      <c r="C13" s="280"/>
      <c r="D13" s="281">
        <f t="shared" si="3"/>
        <v>784.4</v>
      </c>
      <c r="E13" s="443">
        <v>4.0500000000000001E-2</v>
      </c>
      <c r="F13" s="456">
        <f t="shared" si="4"/>
        <v>31.77</v>
      </c>
      <c r="G13" s="443"/>
      <c r="H13" s="457">
        <f t="shared" si="0"/>
        <v>0</v>
      </c>
      <c r="K13" s="278" t="s">
        <v>119</v>
      </c>
      <c r="L13" s="279"/>
      <c r="M13" s="280"/>
      <c r="N13" s="281">
        <f t="shared" si="1"/>
        <v>1193.5</v>
      </c>
      <c r="O13" s="443">
        <v>4.0500000000000001E-2</v>
      </c>
      <c r="P13" s="456">
        <f t="shared" si="5"/>
        <v>48.34</v>
      </c>
      <c r="Q13" s="443"/>
      <c r="R13" s="457"/>
    </row>
    <row r="14" spans="1:18" s="483" customFormat="1" x14ac:dyDescent="0.3">
      <c r="A14" s="287" t="s">
        <v>151</v>
      </c>
      <c r="B14" s="288"/>
      <c r="C14" s="479"/>
      <c r="D14" s="480">
        <f>C1</f>
        <v>4.4000000000000004</v>
      </c>
      <c r="E14" s="484"/>
      <c r="F14" s="482"/>
      <c r="G14" s="484">
        <v>0.11310000000000001</v>
      </c>
      <c r="H14" s="485">
        <f>-IF(I10&lt;I14,I1:I10,I14)</f>
        <v>-0.5</v>
      </c>
      <c r="I14" s="483">
        <f>ROUND(D14*G14,2)</f>
        <v>0.5</v>
      </c>
      <c r="K14" s="287"/>
      <c r="L14" s="288"/>
      <c r="M14" s="479"/>
      <c r="N14" s="480"/>
      <c r="O14" s="484"/>
      <c r="P14" s="482"/>
      <c r="Q14" s="484"/>
      <c r="R14" s="485"/>
    </row>
    <row r="15" spans="1:18" x14ac:dyDescent="0.3">
      <c r="A15" s="278" t="s">
        <v>120</v>
      </c>
      <c r="B15" s="279"/>
      <c r="C15" s="280"/>
      <c r="D15" s="281">
        <f t="shared" si="3"/>
        <v>784.4</v>
      </c>
      <c r="E15" s="444">
        <v>1.29E-2</v>
      </c>
      <c r="F15" s="456">
        <f t="shared" si="4"/>
        <v>10.119999999999999</v>
      </c>
      <c r="G15" s="444">
        <v>8.6E-3</v>
      </c>
      <c r="H15" s="457">
        <f t="shared" si="0"/>
        <v>6.75</v>
      </c>
      <c r="K15" s="278" t="s">
        <v>120</v>
      </c>
      <c r="L15" s="279"/>
      <c r="M15" s="280"/>
      <c r="N15" s="281">
        <f t="shared" si="1"/>
        <v>1193.5</v>
      </c>
      <c r="O15" s="444">
        <v>1.29E-2</v>
      </c>
      <c r="P15" s="456">
        <f t="shared" si="5"/>
        <v>15.4</v>
      </c>
      <c r="Q15" s="444">
        <v>8.6E-3</v>
      </c>
      <c r="R15" s="457">
        <f t="shared" si="2"/>
        <v>10.26</v>
      </c>
    </row>
    <row r="16" spans="1:18" x14ac:dyDescent="0.3">
      <c r="A16" s="278" t="s">
        <v>121</v>
      </c>
      <c r="B16" s="280"/>
      <c r="C16" s="280"/>
      <c r="D16" s="281">
        <f t="shared" si="3"/>
        <v>784.4</v>
      </c>
      <c r="E16" s="444">
        <v>5.2499999999999998E-2</v>
      </c>
      <c r="F16" s="456">
        <f t="shared" si="4"/>
        <v>41.18</v>
      </c>
      <c r="G16" s="444"/>
      <c r="H16" s="457">
        <f t="shared" si="0"/>
        <v>0</v>
      </c>
      <c r="K16" s="278" t="s">
        <v>121</v>
      </c>
      <c r="L16" s="280"/>
      <c r="M16" s="280"/>
      <c r="N16" s="281">
        <f t="shared" si="1"/>
        <v>1193.5</v>
      </c>
      <c r="O16" s="444">
        <v>5.2499999999999998E-2</v>
      </c>
      <c r="P16" s="456">
        <f t="shared" si="5"/>
        <v>62.66</v>
      </c>
      <c r="Q16" s="444"/>
      <c r="R16" s="457">
        <f t="shared" si="2"/>
        <v>0</v>
      </c>
    </row>
    <row r="17" spans="1:18" x14ac:dyDescent="0.3">
      <c r="A17" s="278" t="s">
        <v>122</v>
      </c>
      <c r="B17" s="280"/>
      <c r="C17" s="280"/>
      <c r="D17" s="281">
        <f t="shared" si="3"/>
        <v>784.4</v>
      </c>
      <c r="E17" s="444">
        <v>9.4999999999999998E-3</v>
      </c>
      <c r="F17" s="456">
        <f t="shared" si="4"/>
        <v>7.45</v>
      </c>
      <c r="G17" s="444"/>
      <c r="H17" s="457">
        <f t="shared" si="0"/>
        <v>0</v>
      </c>
      <c r="K17" s="278" t="s">
        <v>122</v>
      </c>
      <c r="L17" s="280"/>
      <c r="M17" s="280"/>
      <c r="N17" s="281">
        <f t="shared" si="1"/>
        <v>1193.5</v>
      </c>
      <c r="O17" s="444">
        <v>9.4999999999999998E-3</v>
      </c>
      <c r="P17" s="456">
        <f t="shared" si="5"/>
        <v>11.34</v>
      </c>
      <c r="Q17" s="444"/>
      <c r="R17" s="457">
        <f t="shared" si="2"/>
        <v>0</v>
      </c>
    </row>
    <row r="18" spans="1:18" x14ac:dyDescent="0.3">
      <c r="A18" s="278" t="s">
        <v>123</v>
      </c>
      <c r="B18" s="280"/>
      <c r="C18" s="280"/>
      <c r="D18" s="281">
        <f t="shared" si="3"/>
        <v>784.4</v>
      </c>
      <c r="E18" s="444">
        <v>1E-3</v>
      </c>
      <c r="F18" s="456">
        <f t="shared" si="4"/>
        <v>0.78</v>
      </c>
      <c r="G18" s="444"/>
      <c r="H18" s="457">
        <f t="shared" si="0"/>
        <v>0</v>
      </c>
      <c r="K18" s="278" t="s">
        <v>123</v>
      </c>
      <c r="L18" s="280"/>
      <c r="M18" s="280"/>
      <c r="N18" s="281">
        <f t="shared" si="1"/>
        <v>1193.5</v>
      </c>
      <c r="O18" s="444">
        <v>1E-3</v>
      </c>
      <c r="P18" s="456">
        <f t="shared" si="5"/>
        <v>1.19</v>
      </c>
      <c r="Q18" s="444"/>
      <c r="R18" s="457">
        <f t="shared" si="2"/>
        <v>0</v>
      </c>
    </row>
    <row r="19" spans="1:18" x14ac:dyDescent="0.3">
      <c r="A19" s="278" t="s">
        <v>124</v>
      </c>
      <c r="B19" s="279"/>
      <c r="C19" s="280"/>
      <c r="D19" s="281">
        <f t="shared" si="3"/>
        <v>784.4</v>
      </c>
      <c r="E19" s="443">
        <v>1.55E-2</v>
      </c>
      <c r="F19" s="283">
        <f t="shared" si="4"/>
        <v>12.16</v>
      </c>
      <c r="G19" s="284">
        <v>1.04E-2</v>
      </c>
      <c r="H19" s="304">
        <f t="shared" si="0"/>
        <v>8.16</v>
      </c>
      <c r="K19" s="278" t="s">
        <v>124</v>
      </c>
      <c r="L19" s="279"/>
      <c r="M19" s="280"/>
      <c r="N19" s="281">
        <f t="shared" si="1"/>
        <v>1193.5</v>
      </c>
      <c r="O19" s="443">
        <v>1.55E-2</v>
      </c>
      <c r="P19" s="456">
        <f t="shared" si="5"/>
        <v>18.5</v>
      </c>
      <c r="Q19" s="284">
        <v>1.04E-2</v>
      </c>
      <c r="R19" s="457">
        <f t="shared" si="2"/>
        <v>12.41</v>
      </c>
    </row>
    <row r="20" spans="1:18" x14ac:dyDescent="0.3">
      <c r="A20" s="278" t="s">
        <v>157</v>
      </c>
      <c r="B20" s="279"/>
      <c r="C20" s="280"/>
      <c r="D20" s="281">
        <f>B1</f>
        <v>784.4</v>
      </c>
      <c r="E20" s="443">
        <v>6.0000000000000001E-3</v>
      </c>
      <c r="F20" s="283">
        <f t="shared" si="4"/>
        <v>4.71</v>
      </c>
      <c r="G20" s="284"/>
      <c r="H20" s="304"/>
      <c r="K20" s="278" t="s">
        <v>157</v>
      </c>
      <c r="L20" s="279"/>
      <c r="M20" s="280"/>
      <c r="N20" s="281">
        <f>L1</f>
        <v>1193.5</v>
      </c>
      <c r="O20" s="443">
        <v>6.0000000000000001E-3</v>
      </c>
      <c r="P20" s="456">
        <f t="shared" si="5"/>
        <v>7.16</v>
      </c>
      <c r="Q20" s="284"/>
      <c r="R20" s="457"/>
    </row>
    <row r="21" spans="1:18" x14ac:dyDescent="0.3">
      <c r="A21" s="278" t="s">
        <v>125</v>
      </c>
      <c r="B21" s="280"/>
      <c r="C21" s="280"/>
      <c r="D21" s="281">
        <f t="shared" si="3"/>
        <v>784.4</v>
      </c>
      <c r="E21" s="284">
        <v>5.4999999999999997E-3</v>
      </c>
      <c r="F21" s="283">
        <f t="shared" si="4"/>
        <v>4.3099999999999996</v>
      </c>
      <c r="G21" s="284"/>
      <c r="H21" s="304"/>
      <c r="K21" s="278" t="s">
        <v>125</v>
      </c>
      <c r="L21" s="280"/>
      <c r="M21" s="280"/>
      <c r="N21" s="281">
        <f t="shared" si="1"/>
        <v>1193.5</v>
      </c>
      <c r="O21" s="284">
        <v>5.4999999999999997E-3</v>
      </c>
      <c r="P21" s="283">
        <f t="shared" si="5"/>
        <v>6.56</v>
      </c>
      <c r="Q21" s="284"/>
      <c r="R21" s="304"/>
    </row>
    <row r="22" spans="1:18" x14ac:dyDescent="0.3">
      <c r="A22" s="278" t="s">
        <v>126</v>
      </c>
      <c r="B22" s="280"/>
      <c r="C22" s="280"/>
      <c r="D22" s="281">
        <f t="shared" si="3"/>
        <v>784.4</v>
      </c>
      <c r="E22" s="284">
        <v>1.6000000000000001E-4</v>
      </c>
      <c r="F22" s="283">
        <f t="shared" si="4"/>
        <v>0.13</v>
      </c>
      <c r="G22" s="284"/>
      <c r="H22" s="304"/>
      <c r="K22" s="278" t="s">
        <v>126</v>
      </c>
      <c r="L22" s="280"/>
      <c r="M22" s="280"/>
      <c r="N22" s="281">
        <f t="shared" si="1"/>
        <v>1193.5</v>
      </c>
      <c r="O22" s="284">
        <v>1.6000000000000001E-4</v>
      </c>
      <c r="P22" s="283">
        <f t="shared" si="5"/>
        <v>0.19</v>
      </c>
      <c r="Q22" s="284"/>
      <c r="R22" s="304"/>
    </row>
    <row r="23" spans="1:18" x14ac:dyDescent="0.3">
      <c r="A23" s="278" t="s">
        <v>127</v>
      </c>
      <c r="B23" s="280"/>
      <c r="C23" s="280"/>
      <c r="D23" s="281">
        <f t="shared" si="3"/>
        <v>784.4</v>
      </c>
      <c r="E23" s="284">
        <v>3.0000000000000001E-3</v>
      </c>
      <c r="F23" s="283">
        <f t="shared" si="4"/>
        <v>2.35</v>
      </c>
      <c r="G23" s="282"/>
      <c r="H23" s="304"/>
      <c r="K23" s="278" t="s">
        <v>127</v>
      </c>
      <c r="L23" s="280"/>
      <c r="M23" s="280"/>
      <c r="N23" s="281">
        <f t="shared" si="1"/>
        <v>1193.5</v>
      </c>
      <c r="O23" s="284">
        <v>3.0000000000000001E-3</v>
      </c>
      <c r="P23" s="283">
        <f t="shared" si="5"/>
        <v>3.58</v>
      </c>
      <c r="Q23" s="282"/>
      <c r="R23" s="304"/>
    </row>
    <row r="24" spans="1:18" ht="14.5" thickBot="1" x14ac:dyDescent="0.35">
      <c r="A24" s="291" t="s">
        <v>128</v>
      </c>
      <c r="B24" s="292"/>
      <c r="C24" s="293"/>
      <c r="D24" s="294">
        <f t="shared" si="3"/>
        <v>784.4</v>
      </c>
      <c r="E24" s="295"/>
      <c r="F24" s="296">
        <f>(SUM(F9:F23))</f>
        <v>335.92</v>
      </c>
      <c r="G24" s="295"/>
      <c r="H24" s="306">
        <f>SUM(H6:H19)</f>
        <v>171.14</v>
      </c>
      <c r="K24" s="291" t="s">
        <v>128</v>
      </c>
      <c r="L24" s="292"/>
      <c r="M24" s="293"/>
      <c r="N24" s="294">
        <f t="shared" si="1"/>
        <v>1193.5</v>
      </c>
      <c r="O24" s="295"/>
      <c r="P24" s="296">
        <f>(SUM(P9:P23))</f>
        <v>511.13</v>
      </c>
      <c r="Q24" s="295"/>
      <c r="R24" s="306">
        <f>SUM(R6:R19)</f>
        <v>261.13</v>
      </c>
    </row>
    <row r="26" spans="1:18" x14ac:dyDescent="0.3">
      <c r="A26" s="445" t="s">
        <v>135</v>
      </c>
      <c r="E26" s="446">
        <f>SUM(E9:E11,E16:E18)</f>
        <v>0.29749999999999999</v>
      </c>
      <c r="G26" s="447">
        <f>SUM(G9:G11)</f>
        <v>7.2999999999999995E-2</v>
      </c>
      <c r="K26" s="445" t="s">
        <v>135</v>
      </c>
      <c r="O26" s="446">
        <f>SUM(O9:O11,O16:O18)</f>
        <v>0.29749999999999999</v>
      </c>
      <c r="Q26" s="447">
        <f>SUM(Q9:Q11)</f>
        <v>7.2999999999999995E-2</v>
      </c>
    </row>
    <row r="27" spans="1:18" x14ac:dyDescent="0.3">
      <c r="A27" s="445" t="s">
        <v>136</v>
      </c>
      <c r="E27" s="446">
        <f>SUM(E12:E15,E19:E23)</f>
        <v>0.13075999999999999</v>
      </c>
      <c r="G27" s="447">
        <f>SUM(G15:G19)</f>
        <v>1.9E-2</v>
      </c>
      <c r="K27" s="445" t="s">
        <v>136</v>
      </c>
      <c r="O27" s="446">
        <f>SUM(O12:O15,O19:O23)</f>
        <v>0.13075999999999999</v>
      </c>
      <c r="Q27" s="447">
        <f>SUM(Q12:Q19)</f>
        <v>5.0500000000000003E-2</v>
      </c>
    </row>
    <row r="28" spans="1:18" ht="14.5" thickBot="1" x14ac:dyDescent="0.35">
      <c r="G28" s="446">
        <f>SUM(G26:G27)+G12</f>
        <v>0.1235</v>
      </c>
      <c r="Q28" s="446">
        <f>SUM(Q26:Q27)</f>
        <v>0.1235</v>
      </c>
    </row>
    <row r="29" spans="1:18" ht="14.5" thickBot="1" x14ac:dyDescent="0.35">
      <c r="D29" s="448" t="s">
        <v>137</v>
      </c>
      <c r="E29" s="449">
        <f>E26+E27</f>
        <v>0.42830000000000001</v>
      </c>
      <c r="G29" s="450">
        <f>SUM(G6:G8)*98.25%+G28</f>
        <v>0.21879999999999999</v>
      </c>
      <c r="N29" s="448" t="s">
        <v>137</v>
      </c>
      <c r="O29" s="449">
        <f>O26+O27</f>
        <v>0.42830000000000001</v>
      </c>
      <c r="Q29" s="450">
        <f>SUM(Q6:Q8)*98.25%+Q28</f>
        <v>0.21879999999999999</v>
      </c>
    </row>
  </sheetData>
  <sheetProtection algorithmName="SHA-512" hashValue="EsjOwYMMhtDDd3GS3yYt57IMLvUHpE9u7ZTg89ZNYONlYgIVaSDJM8E2HAXpvVAC9YgqkVCujMiNcNI01wxZng==" saltValue="B0hn/OsojX71NjI4eqSux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Feuil2</vt:lpstr>
      <vt:lpstr>1</vt:lpstr>
      <vt:lpstr>Simulateur</vt:lpstr>
      <vt:lpstr>Feuil1</vt:lpstr>
      <vt:lpstr>Feuil3</vt:lpstr>
      <vt:lpstr> BS GED</vt:lpstr>
      <vt:lpstr>BS AM</vt:lpstr>
    </vt:vector>
  </TitlesOfParts>
  <Company>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El Kit Melanie</cp:lastModifiedBy>
  <cp:lastPrinted>2015-02-11T10:35:25Z</cp:lastPrinted>
  <dcterms:created xsi:type="dcterms:W3CDTF">2005-02-10T13:00:10Z</dcterms:created>
  <dcterms:modified xsi:type="dcterms:W3CDTF">2022-07-06T08:04:23Z</dcterms:modified>
</cp:coreProperties>
</file>