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workbookProtection workbookAlgorithmName="SHA-512" workbookHashValue="3eEGJBscxPuzRz7TEwd/gk7W9xzVD9vwAKfDVHwSQXAy94PJlo/n5+ceK78+83fMzpj0NSsN8alSAMm3pjQ9vA==" workbookSpinCount="100000" workbookSaltValue="egQkmSX8PsKWMPW3VeGUFw==" lockStructure="1"/>
  <bookViews>
    <workbookView xWindow="0" yWindow="0" windowWidth="15530" windowHeight="7050" activeTab="0"/>
  </bookViews>
  <sheets>
    <sheet name="Simulateur" sheetId="7" r:id="rId1"/>
    <sheet name="tranches" sheetId="2" state="hidden" r:id="rId2"/>
    <sheet name="réponse (1)" sheetId="3" state="hidden" r:id="rId3"/>
    <sheet name="réponse (2)" sheetId="4" state="hidden" r:id="rId4"/>
    <sheet name="réponse (3)" sheetId="5" state="hidden" r:id="rId5"/>
    <sheet name="réponse (4)" sheetId="6" state="hidden" r:id="rId6"/>
  </sheets>
  <definedNames/>
  <calcPr calcId="162913"/>
</workbook>
</file>

<file path=xl/sharedStrings.xml><?xml version="1.0" encoding="utf-8"?>
<sst xmlns="http://schemas.openxmlformats.org/spreadsheetml/2006/main" count="89" uniqueCount="76">
  <si>
    <t>Tranche de ressources</t>
  </si>
  <si>
    <t>Pourcentage des enfants</t>
  </si>
  <si>
    <t>Pourcentage des petits-enfants</t>
  </si>
  <si>
    <t>Participation mensuelle moyenne enfants</t>
  </si>
  <si>
    <t>Participation mensuelle moyenne p-e</t>
  </si>
  <si>
    <t>Juste avant votre entrée en établissement, vous avez résidé pendant plus de trois mois à Paris :</t>
  </si>
  <si>
    <t xml:space="preserve">Vous êtes : </t>
  </si>
  <si>
    <t>Ensemble des revenus annuels déclarés au niveau du foyer :</t>
  </si>
  <si>
    <t>Nombre d'enfants à charge :</t>
  </si>
  <si>
    <t>Montants annuels des pensions alimentaires 
reversées sur décision judicaire :</t>
  </si>
  <si>
    <t xml:space="preserve">La personne est-elle mariée ? </t>
  </si>
  <si>
    <t>Age :</t>
  </si>
  <si>
    <t>Nombre d'enfants :</t>
  </si>
  <si>
    <t>Nombre de petits enfants :</t>
  </si>
  <si>
    <t>RESULTATS</t>
  </si>
  <si>
    <t xml:space="preserve">Revenu total disponible par mois pour payer les frais d'hébergement : </t>
  </si>
  <si>
    <t xml:space="preserve">D'après les informations fournies sur vos obligés alimentaires, ceux-ci peuvent contribuer à hauteur de : </t>
  </si>
  <si>
    <t>D'après les informations renseignées, vos ressources propres vous permettre de contribuer aux frais mensuels d'hébergement à hauteur de :</t>
  </si>
  <si>
    <t xml:space="preserve">(4) Le tarif journalier et le montant du tarif « GIR 5-6 » peuvent être communiqués directement par l’établissement d’accueil ou bien trouvés sur le site : https://www.pour-les-personnes-agees.gouv.fr </t>
  </si>
  <si>
    <t xml:space="preserve">(2) S’il reste à domicile, le conjoint de la personne âgée qui va entrer en établissement est tenu de participer aux frais d’hébergement au titre de l’obligation alimentaire en fonction de ses ressources. </t>
  </si>
  <si>
    <t>Tarif d'hébergement mensuel de l'établissement d'accueil  :</t>
  </si>
  <si>
    <t>(3) En tenant  compte du nombre d’enfants à votre charges ainsi que des pensions déjà reversées, nous calculons des charges forfaitaires qui sont déduites de vos revenus déclarés. Un pourcentage de participation aux frais d’hébergement de la personne âgée est ensuite calculé. Cette participation se fait au titre de l’obligation alimentaire.</t>
  </si>
  <si>
    <t>(1) La personne bénéficiant de l'ASH doit reverser 90 % de ses revenus (allocation logement comprise) pour financer les frais d’hébergement de l’établissement. Les 10 % restants sont laissés à sa disposition. Cette somme ne peut pas être inférieure à 120,10 € par mois.</t>
  </si>
  <si>
    <t>Pour plus d'informations, laisser votre curseur de la souris ici(4)</t>
  </si>
  <si>
    <t>Pour plus d'informations, laisser votre curseur de la souris ici (1)</t>
  </si>
  <si>
    <t>Pour plus d'informations, laisser votre curseur de la souris ici (2)</t>
  </si>
  <si>
    <t>Plus de 65 ans</t>
  </si>
  <si>
    <t>OUI</t>
  </si>
  <si>
    <t>Marié(e) ou pacsé(e)</t>
  </si>
  <si>
    <t>Enfant 1</t>
  </si>
  <si>
    <t>Enfant 2</t>
  </si>
  <si>
    <t>Enfant 3</t>
  </si>
  <si>
    <t>Enfant 4</t>
  </si>
  <si>
    <t>Enfant 5</t>
  </si>
  <si>
    <t>Enfant 6</t>
  </si>
  <si>
    <t>Enfant 7</t>
  </si>
  <si>
    <t>Enfant 8</t>
  </si>
  <si>
    <t>Enfant 9</t>
  </si>
  <si>
    <t>Enfant 10</t>
  </si>
  <si>
    <t>Petit enfant 1</t>
  </si>
  <si>
    <t>Petit enfant 2</t>
  </si>
  <si>
    <t>Petit enfant 3</t>
  </si>
  <si>
    <t>Petit enfant 4</t>
  </si>
  <si>
    <t>Petit enfant 5</t>
  </si>
  <si>
    <t>Petit enfant 6</t>
  </si>
  <si>
    <t>Petit enfant 7</t>
  </si>
  <si>
    <t>Petit enfant 8</t>
  </si>
  <si>
    <t>Petit enfant 9</t>
  </si>
  <si>
    <t>Petit enfant 10</t>
  </si>
  <si>
    <t>Le demandeur</t>
  </si>
  <si>
    <t>Le conjoint</t>
  </si>
  <si>
    <t>Les enfants</t>
  </si>
  <si>
    <t>Les petits enfants</t>
  </si>
  <si>
    <t>L'établissement d'accueil</t>
  </si>
  <si>
    <t>Contribution aux frais d'hébergement</t>
  </si>
  <si>
    <t>SIMULATEUR AIDE SOCIALE A L'HÉBERGEMENT EN ÉTABLISSEMENT</t>
  </si>
  <si>
    <t xml:space="preserve">Renseigner votre situation personnelle </t>
  </si>
  <si>
    <t>Renseigner la situation de votre conjoint</t>
  </si>
  <si>
    <t>Renseigner la situation des enfants</t>
  </si>
  <si>
    <t xml:space="preserve">Renseigner la situation des petits-enfants </t>
  </si>
  <si>
    <t>Renseigner le tarif de l'hébergement d'accueil</t>
  </si>
  <si>
    <t>Visualiser la hauteur de l'aide ASH à l'accueil vous pourriez prétendre avec les informations fournies</t>
  </si>
  <si>
    <r>
      <t xml:space="preserve">Ensemble des revenus annuels déclarés du demandeur tels que figurant sur l’avis d’imposition </t>
    </r>
    <r>
      <rPr>
        <b/>
        <i/>
        <sz val="11"/>
        <color theme="1"/>
        <rFont val="Calibri"/>
        <family val="2"/>
        <scheme val="minor"/>
      </rPr>
      <t>(salaire, retraite principale, complémentaire, capitaux mobiliers…)</t>
    </r>
    <r>
      <rPr>
        <b/>
        <sz val="11"/>
        <color theme="1"/>
        <rFont val="Calibri"/>
        <family val="2"/>
        <scheme val="minor"/>
      </rPr>
      <t xml:space="preserve"> :               </t>
    </r>
  </si>
  <si>
    <t xml:space="preserve">Si le demandeur est marié, en concubinage ou pacsé, ensemble des revenus annuels déclarés du conjoint :      </t>
  </si>
  <si>
    <t>Pour plus d'informations, laisser votre curseur de la souris ici (3)</t>
  </si>
  <si>
    <t>Pourcentage de participation aux frais d'hébergement :</t>
  </si>
  <si>
    <t>Montant mensuel de la participation du conjoint aux frais d'hébergement :</t>
  </si>
  <si>
    <t>Revenu disponible pour contribuer aux frais d'hébergement :</t>
  </si>
  <si>
    <t>Pourcentage de participation de l'enfant aux frais d'hébergement :</t>
  </si>
  <si>
    <t>Montant de la participation de l'enfant aux frais d'hébergement :</t>
  </si>
  <si>
    <t>Revenus disponibles pour contribuer aux frais d'hébergement :</t>
  </si>
  <si>
    <t>Montant de la participation aux frais d'hébergement :</t>
  </si>
  <si>
    <t>Oui</t>
  </si>
  <si>
    <t>Non</t>
  </si>
  <si>
    <t xml:space="preserve">Ce simulateur des aides ASH  a été pré-rempli avec un exemple
Afin de savoir si vous êtes potentiellement éligible à l'ASH, veuillez renseigner votre situation personnelle dans les cases en blanc des différents tableaux 
Attention, ces informations sont fournies à titre indicatif et ne sont pas contractuelles. </t>
  </si>
  <si>
    <t xml:space="preserve">Montant mensuel disponible du conjoint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</si>
</sst>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 #,##0.00\ _€_-;\-* #,##0.00\ _€_-;_-* &quot;-&quot;??\ _€_-;_-@_-"/>
    <numFmt numFmtId="165" formatCode="0.0%"/>
    <numFmt numFmtId="166" formatCode="#,##0.00\ &quot;€&quot;"/>
    <numFmt numFmtId="167" formatCode="_-* #,##0\ _€_-;\-* #,##0\ _€_-;_-* &quot;-&quot;??\ _€_-;_-@_-"/>
    <numFmt numFmtId="168" formatCode="#,##0\ &quot;€&quot;"/>
  </numFmts>
  <fonts count="15">
    <font>
      <sz val="11"/>
      <color theme="1"/>
      <name val="Calibri"/>
      <family val="2"/>
      <scheme val="minor"/>
    </font>
    <font>
      <sz val="10"/>
      <name val="Arial"/>
      <family val="2"/>
    </font>
    <font>
      <b/>
      <sz val="11"/>
      <color theme="1"/>
      <name val="Calibri"/>
      <family val="2"/>
      <scheme val="minor"/>
    </font>
    <font>
      <b/>
      <sz val="16"/>
      <color theme="0"/>
      <name val="Calibri"/>
      <family val="2"/>
      <scheme val="minor"/>
    </font>
    <font>
      <b/>
      <sz val="11"/>
      <color rgb="FFFF0000"/>
      <name val="Calibri"/>
      <family val="2"/>
      <scheme val="minor"/>
    </font>
    <font>
      <b/>
      <i/>
      <sz val="11"/>
      <color theme="1"/>
      <name val="Calibri"/>
      <family val="2"/>
      <scheme val="minor"/>
    </font>
    <font>
      <b/>
      <sz val="12"/>
      <color theme="1"/>
      <name val="Calibri"/>
      <family val="2"/>
      <scheme val="minor"/>
    </font>
    <font>
      <u val="single"/>
      <sz val="11"/>
      <color theme="10"/>
      <name val="Calibri"/>
      <family val="2"/>
      <scheme val="minor"/>
    </font>
    <font>
      <i/>
      <u val="single"/>
      <sz val="11"/>
      <color rgb="FFFF0000"/>
      <name val="Calibri"/>
      <family val="2"/>
      <scheme val="minor"/>
    </font>
    <font>
      <b/>
      <sz val="16"/>
      <name val="Calibri"/>
      <family val="2"/>
      <scheme val="minor"/>
    </font>
    <font>
      <b/>
      <sz val="14"/>
      <color theme="1"/>
      <name val="Calibri"/>
      <family val="2"/>
      <scheme val="minor"/>
    </font>
    <font>
      <b/>
      <sz val="14"/>
      <color theme="0"/>
      <name val="Calibri"/>
      <family val="2"/>
      <scheme val="minor"/>
    </font>
    <font>
      <u val="single"/>
      <sz val="11"/>
      <color rgb="FFFF0000"/>
      <name val="Calibri"/>
      <family val="2"/>
      <scheme val="minor"/>
    </font>
    <font>
      <b/>
      <sz val="12"/>
      <color rgb="FFFF0000"/>
      <name val="Calibri"/>
      <family val="2"/>
      <scheme val="minor"/>
    </font>
    <font>
      <b/>
      <sz val="14"/>
      <color rgb="FFFF0000"/>
      <name val="Calibri"/>
      <family val="2"/>
      <scheme val="minor"/>
    </font>
  </fonts>
  <fills count="9">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
      <patternFill patternType="solid">
        <fgColor rgb="FFFFCC00"/>
        <bgColor indexed="64"/>
      </patternFill>
    </fill>
    <fill>
      <patternFill patternType="solid">
        <fgColor rgb="FF00B0F0"/>
        <bgColor indexed="64"/>
      </patternFill>
    </fill>
    <fill>
      <patternFill patternType="solid">
        <fgColor theme="3" tint="0.7999799847602844"/>
        <bgColor indexed="64"/>
      </patternFill>
    </fill>
    <fill>
      <patternFill patternType="solid">
        <fgColor theme="3" tint="-0.4999699890613556"/>
        <bgColor indexed="64"/>
      </patternFill>
    </fill>
  </fills>
  <borders count="27">
    <border>
      <left/>
      <right/>
      <top/>
      <bottom/>
      <diagonal/>
    </border>
    <border>
      <left style="thin"/>
      <right style="thin"/>
      <top style="thin"/>
      <bottom style="thin"/>
    </border>
    <border>
      <left style="thin"/>
      <right style="thin"/>
      <top/>
      <bottom/>
    </border>
    <border>
      <left style="medium"/>
      <right style="medium"/>
      <top style="medium"/>
      <bottom style="medium"/>
    </border>
    <border>
      <left style="medium"/>
      <right style="medium"/>
      <top style="medium"/>
      <bottom/>
    </border>
    <border>
      <left style="medium"/>
      <right style="medium"/>
      <top/>
      <bottom style="medium"/>
    </border>
    <border>
      <left style="medium"/>
      <right style="thin"/>
      <top style="medium"/>
      <bottom/>
    </border>
    <border>
      <left/>
      <right style="thin"/>
      <top/>
      <bottom/>
    </border>
    <border>
      <left/>
      <right style="thin"/>
      <top style="thin"/>
      <bottom style="thin"/>
    </border>
    <border>
      <left style="thin"/>
      <right style="thin"/>
      <top style="medium"/>
      <bottom/>
    </border>
    <border>
      <left style="thin">
        <color theme="3" tint="-0.4999699890613556"/>
      </left>
      <right/>
      <top style="thin">
        <color theme="3" tint="-0.4999699890613556"/>
      </top>
      <bottom style="thin">
        <color theme="3" tint="-0.4999699890613556"/>
      </bottom>
    </border>
    <border>
      <left/>
      <right/>
      <top style="thin">
        <color theme="3" tint="-0.4999699890613556"/>
      </top>
      <bottom style="thin">
        <color theme="3" tint="-0.4999699890613556"/>
      </bottom>
    </border>
    <border>
      <left/>
      <right style="thin">
        <color theme="3" tint="-0.4999699890613556"/>
      </right>
      <top style="thin">
        <color theme="3" tint="-0.4999699890613556"/>
      </top>
      <bottom style="thin">
        <color theme="3" tint="-0.4999699890613556"/>
      </bottom>
    </border>
    <border>
      <left/>
      <right/>
      <top style="thin">
        <color theme="3" tint="-0.4999699890613556"/>
      </top>
      <bottom/>
    </border>
    <border>
      <left style="thin"/>
      <right style="thin"/>
      <top style="thin"/>
      <bottom/>
    </border>
    <border>
      <left style="thin"/>
      <right style="thin"/>
      <top/>
      <bottom style="thin"/>
    </border>
    <border>
      <left/>
      <right style="medium"/>
      <top style="medium"/>
      <bottom style="medium"/>
    </border>
    <border>
      <left/>
      <right/>
      <top style="medium"/>
      <bottom/>
    </border>
    <border>
      <left style="thin"/>
      <right/>
      <top/>
      <bottom style="thin"/>
    </border>
    <border>
      <left/>
      <right style="thin"/>
      <top/>
      <bottom style="thin"/>
    </border>
    <border>
      <left/>
      <right style="thin"/>
      <top style="medium"/>
      <bottom/>
    </border>
    <border>
      <left/>
      <right/>
      <top/>
      <bottom style="medium"/>
    </border>
    <border>
      <left style="medium"/>
      <right/>
      <top/>
      <bottom style="medium"/>
    </border>
    <border>
      <left/>
      <right style="medium"/>
      <top/>
      <bottom style="medium"/>
    </border>
    <border>
      <left style="medium"/>
      <right/>
      <top style="medium"/>
      <bottom/>
    </border>
    <border>
      <left/>
      <right style="medium"/>
      <top style="medium"/>
      <bottom/>
    </border>
    <border>
      <left style="thin"/>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cellStyleXfs>
  <cellXfs count="110">
    <xf numFmtId="0" fontId="0" fillId="0" borderId="0" xfId="0"/>
    <xf numFmtId="4" fontId="0" fillId="0" borderId="0" xfId="0" applyNumberFormat="1" applyAlignment="1">
      <alignment horizontal="center"/>
    </xf>
    <xf numFmtId="0" fontId="0" fillId="0" borderId="0" xfId="0" applyAlignment="1">
      <alignment horizontal="center"/>
    </xf>
    <xf numFmtId="165" fontId="0" fillId="0" borderId="0" xfId="0" applyNumberFormat="1" applyAlignment="1">
      <alignment horizontal="center"/>
    </xf>
    <xf numFmtId="2" fontId="0" fillId="0" borderId="0" xfId="0" applyNumberFormat="1" applyAlignment="1">
      <alignment horizontal="center"/>
    </xf>
    <xf numFmtId="0" fontId="0" fillId="2" borderId="0" xfId="0" applyFill="1"/>
    <xf numFmtId="49" fontId="0" fillId="0" borderId="1" xfId="0" applyNumberFormat="1" applyBorder="1" applyAlignment="1">
      <alignment horizontal="left" vertical="center" wrapText="1"/>
    </xf>
    <xf numFmtId="0" fontId="7" fillId="0" borderId="0" xfId="23" applyAlignment="1">
      <alignment horizontal="justify" vertical="center" readingOrder="1"/>
    </xf>
    <xf numFmtId="0" fontId="0" fillId="0" borderId="1" xfId="0" applyBorder="1"/>
    <xf numFmtId="4" fontId="0" fillId="0" borderId="1" xfId="0" applyNumberFormat="1" applyBorder="1"/>
    <xf numFmtId="165" fontId="0" fillId="0" borderId="1" xfId="0" applyNumberFormat="1" applyBorder="1"/>
    <xf numFmtId="4" fontId="0" fillId="0" borderId="1" xfId="0" applyNumberFormat="1" applyBorder="1" applyAlignment="1">
      <alignment horizontal="center"/>
    </xf>
    <xf numFmtId="165" fontId="0" fillId="0" borderId="1" xfId="22" applyNumberFormat="1" applyFont="1" applyBorder="1" applyAlignment="1">
      <alignment horizontal="center"/>
    </xf>
    <xf numFmtId="0" fontId="0" fillId="0" borderId="1" xfId="0" applyBorder="1" applyAlignment="1">
      <alignment horizontal="center" vertical="center" wrapText="1"/>
    </xf>
    <xf numFmtId="0" fontId="0" fillId="0" borderId="0" xfId="0" applyAlignment="1">
      <alignment horizontal="center" vertical="center" wrapText="1"/>
    </xf>
    <xf numFmtId="0" fontId="13" fillId="2" borderId="0" xfId="0" applyFont="1" applyFill="1" applyAlignment="1">
      <alignment vertical="center" wrapText="1"/>
    </xf>
    <xf numFmtId="0" fontId="0" fillId="2" borderId="1" xfId="0" applyFill="1" applyBorder="1" applyAlignment="1" applyProtection="1">
      <alignment horizontal="center" vertical="center" wrapText="1"/>
      <protection locked="0"/>
    </xf>
    <xf numFmtId="167" fontId="0" fillId="2" borderId="1" xfId="20" applyNumberFormat="1" applyFont="1" applyFill="1" applyBorder="1" applyAlignment="1" applyProtection="1">
      <alignment horizontal="center" vertical="center"/>
      <protection locked="0"/>
    </xf>
    <xf numFmtId="0" fontId="0" fillId="2" borderId="1" xfId="20" applyNumberFormat="1" applyFont="1" applyFill="1" applyBorder="1" applyAlignment="1" applyProtection="1">
      <alignment horizontal="center" vertical="center"/>
      <protection locked="0"/>
    </xf>
    <xf numFmtId="0" fontId="0" fillId="2" borderId="0" xfId="0" applyFill="1" applyAlignment="1" applyProtection="1">
      <alignment wrapText="1"/>
      <protection/>
    </xf>
    <xf numFmtId="0" fontId="0" fillId="2" borderId="0" xfId="0" applyFill="1" applyProtection="1">
      <protection/>
    </xf>
    <xf numFmtId="0" fontId="0" fillId="2" borderId="0" xfId="0" applyFill="1" applyBorder="1" applyProtection="1">
      <protection/>
    </xf>
    <xf numFmtId="0" fontId="13" fillId="2" borderId="0" xfId="0" applyFont="1" applyFill="1" applyAlignment="1" applyProtection="1">
      <alignment vertical="center" wrapText="1"/>
      <protection/>
    </xf>
    <xf numFmtId="165" fontId="0" fillId="2" borderId="1" xfId="22" applyNumberFormat="1" applyFont="1" applyFill="1" applyBorder="1" applyAlignment="1" applyProtection="1">
      <alignment horizontal="center" vertical="center"/>
      <protection locked="0"/>
    </xf>
    <xf numFmtId="168" fontId="2" fillId="2" borderId="1" xfId="20" applyNumberFormat="1" applyFont="1" applyFill="1" applyBorder="1" applyAlignment="1" applyProtection="1">
      <alignment horizontal="center" vertical="center"/>
      <protection locked="0"/>
    </xf>
    <xf numFmtId="166" fontId="0" fillId="2" borderId="1" xfId="20" applyNumberFormat="1" applyFont="1" applyFill="1" applyBorder="1" applyAlignment="1" applyProtection="1">
      <alignment horizontal="center" vertical="center"/>
      <protection locked="0"/>
    </xf>
    <xf numFmtId="1" fontId="0" fillId="2" borderId="1" xfId="22" applyNumberFormat="1"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xf>
    <xf numFmtId="0" fontId="0" fillId="3" borderId="0" xfId="0" applyFill="1" applyBorder="1" applyProtection="1">
      <protection/>
    </xf>
    <xf numFmtId="0" fontId="0" fillId="3" borderId="0" xfId="0" applyFill="1" applyBorder="1" applyAlignment="1" applyProtection="1">
      <alignment horizontal="center"/>
      <protection/>
    </xf>
    <xf numFmtId="0" fontId="7" fillId="3" borderId="0" xfId="23" applyFill="1" applyBorder="1" applyAlignment="1" applyProtection="1">
      <alignment horizontal="left" vertical="center"/>
      <protection/>
    </xf>
    <xf numFmtId="0" fontId="0" fillId="3" borderId="0" xfId="0" applyFill="1" applyAlignment="1" applyProtection="1">
      <alignment horizontal="center"/>
      <protection/>
    </xf>
    <xf numFmtId="0" fontId="2" fillId="4" borderId="1" xfId="0" applyFont="1" applyFill="1" applyBorder="1" applyAlignment="1" applyProtection="1">
      <alignment vertical="center" wrapText="1"/>
      <protection/>
    </xf>
    <xf numFmtId="0" fontId="2" fillId="4" borderId="2" xfId="0" applyFont="1" applyFill="1" applyBorder="1" applyAlignment="1" applyProtection="1">
      <alignment vertical="center" wrapText="1"/>
      <protection/>
    </xf>
    <xf numFmtId="0" fontId="2" fillId="5" borderId="1" xfId="0" applyFont="1" applyFill="1" applyBorder="1" applyAlignment="1" applyProtection="1">
      <alignment horizontal="left" vertical="center" wrapText="1"/>
      <protection/>
    </xf>
    <xf numFmtId="166" fontId="0" fillId="4" borderId="3" xfId="20" applyNumberFormat="1" applyFont="1" applyFill="1" applyBorder="1" applyAlignment="1" applyProtection="1">
      <alignment horizontal="center" vertical="center"/>
      <protection/>
    </xf>
    <xf numFmtId="165" fontId="0" fillId="4" borderId="3" xfId="22" applyNumberFormat="1" applyFont="1" applyFill="1" applyBorder="1" applyAlignment="1" applyProtection="1">
      <alignment horizontal="center" vertical="center"/>
      <protection/>
    </xf>
    <xf numFmtId="168" fontId="2" fillId="5" borderId="3" xfId="20" applyNumberFormat="1" applyFont="1" applyFill="1" applyBorder="1" applyAlignment="1" applyProtection="1">
      <alignment horizontal="center" vertical="center"/>
      <protection/>
    </xf>
    <xf numFmtId="166" fontId="0" fillId="3" borderId="0" xfId="0" applyNumberFormat="1" applyFill="1" applyBorder="1" applyProtection="1">
      <protection/>
    </xf>
    <xf numFmtId="0" fontId="6" fillId="5" borderId="4" xfId="0" applyFont="1" applyFill="1" applyBorder="1" applyAlignment="1" applyProtection="1">
      <alignment horizontal="center" vertical="center" wrapText="1"/>
      <protection/>
    </xf>
    <xf numFmtId="0" fontId="2" fillId="3" borderId="0" xfId="0" applyFont="1" applyFill="1" applyBorder="1" applyAlignment="1" applyProtection="1">
      <alignment horizontal="center" vertical="center" wrapText="1"/>
      <protection/>
    </xf>
    <xf numFmtId="0" fontId="7" fillId="5" borderId="5" xfId="23" applyFill="1" applyBorder="1" applyAlignment="1" applyProtection="1">
      <alignment horizontal="center" vertical="center" wrapText="1"/>
      <protection/>
    </xf>
    <xf numFmtId="166" fontId="0" fillId="4" borderId="1" xfId="20" applyNumberFormat="1" applyFont="1" applyFill="1" applyBorder="1" applyAlignment="1" applyProtection="1">
      <alignment horizontal="center" vertical="center"/>
      <protection/>
    </xf>
    <xf numFmtId="168" fontId="2" fillId="4" borderId="1" xfId="20" applyNumberFormat="1" applyFont="1" applyFill="1" applyBorder="1" applyAlignment="1" applyProtection="1">
      <alignment horizontal="center" vertical="center"/>
      <protection/>
    </xf>
    <xf numFmtId="10" fontId="0" fillId="4" borderId="1" xfId="20" applyNumberFormat="1" applyFont="1" applyFill="1" applyBorder="1" applyAlignment="1" applyProtection="1">
      <alignment horizontal="center" vertical="center"/>
      <protection/>
    </xf>
    <xf numFmtId="166" fontId="0" fillId="5" borderId="1" xfId="22" applyNumberFormat="1" applyFont="1" applyFill="1" applyBorder="1" applyAlignment="1" applyProtection="1">
      <alignment horizontal="center" vertical="center"/>
      <protection/>
    </xf>
    <xf numFmtId="0" fontId="6" fillId="5" borderId="6" xfId="0" applyFont="1" applyFill="1" applyBorder="1" applyAlignment="1" applyProtection="1">
      <alignment horizontal="center" vertical="center"/>
      <protection/>
    </xf>
    <xf numFmtId="0" fontId="2" fillId="4" borderId="7" xfId="0" applyFont="1" applyFill="1" applyBorder="1" applyAlignment="1" applyProtection="1">
      <alignment vertical="center" wrapText="1"/>
      <protection/>
    </xf>
    <xf numFmtId="0" fontId="2" fillId="5" borderId="8" xfId="0" applyFont="1" applyFill="1" applyBorder="1" applyAlignment="1" applyProtection="1">
      <alignment horizontal="left" vertical="center" wrapText="1"/>
      <protection/>
    </xf>
    <xf numFmtId="168" fontId="0" fillId="3" borderId="0" xfId="20" applyNumberFormat="1" applyFont="1" applyFill="1" applyBorder="1" applyAlignment="1" applyProtection="1">
      <alignment horizontal="center" vertical="center"/>
      <protection/>
    </xf>
    <xf numFmtId="0" fontId="2" fillId="3" borderId="0" xfId="0" applyFont="1" applyFill="1" applyBorder="1" applyAlignment="1" applyProtection="1">
      <alignment horizontal="left" vertical="center" wrapText="1"/>
      <protection/>
    </xf>
    <xf numFmtId="166" fontId="0" fillId="3" borderId="0" xfId="20" applyNumberFormat="1" applyFont="1" applyFill="1" applyBorder="1" applyAlignment="1" applyProtection="1">
      <alignment horizontal="center" vertical="center"/>
      <protection/>
    </xf>
    <xf numFmtId="0" fontId="7" fillId="3" borderId="0" xfId="23" applyFill="1" applyBorder="1" applyAlignment="1" applyProtection="1">
      <alignment vertical="center" wrapText="1"/>
      <protection/>
    </xf>
    <xf numFmtId="168" fontId="0" fillId="4" borderId="3" xfId="0" applyNumberFormat="1" applyFill="1" applyBorder="1" applyAlignment="1" applyProtection="1">
      <alignment horizontal="center" vertical="center" wrapText="1"/>
      <protection/>
    </xf>
    <xf numFmtId="168" fontId="10" fillId="4" borderId="3" xfId="20" applyNumberFormat="1" applyFont="1" applyFill="1" applyBorder="1" applyAlignment="1" applyProtection="1">
      <alignment horizontal="center" vertical="center"/>
      <protection/>
    </xf>
    <xf numFmtId="168" fontId="9" fillId="6" borderId="3" xfId="21" applyNumberFormat="1" applyFont="1" applyFill="1" applyBorder="1" applyAlignment="1" applyProtection="1">
      <alignment horizontal="center" vertical="center"/>
      <protection/>
    </xf>
    <xf numFmtId="168" fontId="2" fillId="3" borderId="0" xfId="20" applyNumberFormat="1" applyFont="1" applyFill="1" applyBorder="1" applyAlignment="1" applyProtection="1">
      <alignment horizontal="center" vertical="center"/>
      <protection/>
    </xf>
    <xf numFmtId="0" fontId="2" fillId="7" borderId="9" xfId="0" applyFont="1" applyFill="1" applyBorder="1" applyAlignment="1" applyProtection="1">
      <alignment horizontal="left" vertical="center" wrapText="1"/>
      <protection/>
    </xf>
    <xf numFmtId="0" fontId="7" fillId="3" borderId="0" xfId="23" applyFill="1" applyBorder="1" applyAlignment="1" applyProtection="1">
      <alignment horizontal="center" vertical="center" wrapText="1"/>
      <protection/>
    </xf>
    <xf numFmtId="0" fontId="0" fillId="3" borderId="0" xfId="0" applyFill="1" applyProtection="1">
      <protection/>
    </xf>
    <xf numFmtId="0" fontId="0" fillId="0" borderId="0" xfId="0" applyProtection="1">
      <protection/>
    </xf>
    <xf numFmtId="0" fontId="3" fillId="8" borderId="10" xfId="0" applyFont="1" applyFill="1" applyBorder="1" applyAlignment="1" applyProtection="1">
      <alignment horizontal="center" vertical="center"/>
      <protection/>
    </xf>
    <xf numFmtId="0" fontId="3" fillId="8" borderId="11" xfId="0" applyFont="1" applyFill="1" applyBorder="1" applyAlignment="1" applyProtection="1">
      <alignment horizontal="center" vertical="center"/>
      <protection/>
    </xf>
    <xf numFmtId="0" fontId="3" fillId="8" borderId="12" xfId="0" applyFont="1" applyFill="1" applyBorder="1" applyAlignment="1" applyProtection="1">
      <alignment horizontal="center" vertical="center"/>
      <protection/>
    </xf>
    <xf numFmtId="0" fontId="14" fillId="2" borderId="13" xfId="0" applyFont="1" applyFill="1" applyBorder="1" applyAlignment="1" applyProtection="1">
      <alignment horizontal="center" vertical="center" wrapText="1"/>
      <protection/>
    </xf>
    <xf numFmtId="0" fontId="2" fillId="4" borderId="14" xfId="0" applyFont="1" applyFill="1" applyBorder="1" applyAlignment="1" applyProtection="1">
      <alignment horizontal="center" vertical="center" wrapText="1"/>
      <protection/>
    </xf>
    <xf numFmtId="0" fontId="2" fillId="4" borderId="15" xfId="0" applyFont="1" applyFill="1" applyBorder="1" applyAlignment="1" applyProtection="1">
      <alignment horizontal="center" vertical="center" wrapText="1"/>
      <protection/>
    </xf>
    <xf numFmtId="0" fontId="2" fillId="4" borderId="2" xfId="0" applyFont="1" applyFill="1" applyBorder="1" applyAlignment="1" applyProtection="1">
      <alignment horizontal="center" vertical="center" wrapText="1"/>
      <protection/>
    </xf>
    <xf numFmtId="0" fontId="2" fillId="5" borderId="14" xfId="0" applyFont="1" applyFill="1" applyBorder="1" applyAlignment="1" applyProtection="1">
      <alignment horizontal="center" vertical="center" wrapText="1"/>
      <protection/>
    </xf>
    <xf numFmtId="0" fontId="2" fillId="5" borderId="15" xfId="0" applyFont="1" applyFill="1" applyBorder="1" applyAlignment="1" applyProtection="1">
      <alignment horizontal="center" vertical="center" wrapText="1"/>
      <protection/>
    </xf>
    <xf numFmtId="0" fontId="2" fillId="7" borderId="9" xfId="0" applyFont="1" applyFill="1" applyBorder="1" applyAlignment="1" applyProtection="1">
      <alignment horizontal="center" vertical="center" wrapText="1"/>
      <protection/>
    </xf>
    <xf numFmtId="0" fontId="2" fillId="7" borderId="15" xfId="0" applyFont="1" applyFill="1" applyBorder="1" applyAlignment="1" applyProtection="1">
      <alignment horizontal="center" vertical="center" wrapText="1"/>
      <protection/>
    </xf>
    <xf numFmtId="168" fontId="0" fillId="2" borderId="16" xfId="20" applyNumberFormat="1" applyFont="1" applyFill="1" applyBorder="1" applyAlignment="1" applyProtection="1">
      <alignment horizontal="center" vertical="center"/>
      <protection locked="0"/>
    </xf>
    <xf numFmtId="0" fontId="7" fillId="3" borderId="0" xfId="23" applyFill="1" applyBorder="1" applyAlignment="1" applyProtection="1">
      <alignment horizontal="center" vertical="center" wrapText="1"/>
      <protection/>
    </xf>
    <xf numFmtId="0" fontId="11" fillId="8" borderId="17" xfId="0" applyFont="1" applyFill="1" applyBorder="1" applyAlignment="1" applyProtection="1">
      <alignment horizontal="center"/>
      <protection/>
    </xf>
    <xf numFmtId="0" fontId="12" fillId="3" borderId="0" xfId="23" applyFont="1" applyFill="1" applyBorder="1" applyAlignment="1" applyProtection="1">
      <alignment horizontal="center" vertical="center" wrapText="1"/>
      <protection/>
    </xf>
    <xf numFmtId="0" fontId="11" fillId="8" borderId="0" xfId="0" applyFont="1" applyFill="1" applyBorder="1" applyAlignment="1" applyProtection="1">
      <alignment horizontal="center"/>
      <protection/>
    </xf>
    <xf numFmtId="0" fontId="6" fillId="5" borderId="17" xfId="0" applyFont="1" applyFill="1" applyBorder="1" applyAlignment="1" applyProtection="1">
      <alignment horizontal="center" vertical="center"/>
      <protection/>
    </xf>
    <xf numFmtId="0" fontId="6" fillId="5" borderId="0" xfId="0" applyFont="1" applyFill="1" applyBorder="1" applyAlignment="1" applyProtection="1">
      <alignment horizontal="center" vertical="center"/>
      <protection/>
    </xf>
    <xf numFmtId="168" fontId="0" fillId="2" borderId="1" xfId="20" applyNumberFormat="1" applyFont="1" applyFill="1" applyBorder="1" applyAlignment="1" applyProtection="1">
      <alignment horizontal="center" vertical="center"/>
      <protection locked="0"/>
    </xf>
    <xf numFmtId="0" fontId="7" fillId="7" borderId="18" xfId="23" applyFill="1" applyBorder="1" applyAlignment="1" applyProtection="1">
      <alignment horizontal="center" vertical="center" wrapText="1"/>
      <protection/>
    </xf>
    <xf numFmtId="0" fontId="7" fillId="7" borderId="19" xfId="23" applyFill="1" applyBorder="1" applyAlignment="1" applyProtection="1">
      <alignment horizontal="center" vertical="center" wrapText="1"/>
      <protection/>
    </xf>
    <xf numFmtId="0" fontId="2" fillId="7" borderId="20" xfId="0" applyFont="1" applyFill="1" applyBorder="1" applyAlignment="1" applyProtection="1">
      <alignment horizontal="center" vertical="center" wrapText="1"/>
      <protection/>
    </xf>
    <xf numFmtId="0" fontId="2" fillId="7" borderId="19" xfId="0" applyFont="1" applyFill="1" applyBorder="1" applyAlignment="1" applyProtection="1">
      <alignment horizontal="center" vertical="center" wrapText="1"/>
      <protection/>
    </xf>
    <xf numFmtId="0" fontId="2" fillId="5" borderId="3" xfId="0" applyFont="1" applyFill="1" applyBorder="1" applyAlignment="1" applyProtection="1">
      <alignment horizontal="center" vertical="center"/>
      <protection/>
    </xf>
    <xf numFmtId="0" fontId="11" fillId="8" borderId="21" xfId="0" applyFont="1" applyFill="1" applyBorder="1" applyAlignment="1" applyProtection="1">
      <alignment horizontal="center" vertical="center"/>
      <protection/>
    </xf>
    <xf numFmtId="0" fontId="2" fillId="7" borderId="3" xfId="0" applyFont="1" applyFill="1" applyBorder="1" applyAlignment="1" applyProtection="1">
      <alignment horizontal="center" vertical="center" wrapText="1"/>
      <protection/>
    </xf>
    <xf numFmtId="0" fontId="10" fillId="7" borderId="3" xfId="0" applyFont="1" applyFill="1" applyBorder="1" applyAlignment="1" applyProtection="1">
      <alignment horizontal="center" vertical="center" wrapText="1"/>
      <protection/>
    </xf>
    <xf numFmtId="0" fontId="9" fillId="6" borderId="3" xfId="0" applyFont="1" applyFill="1" applyBorder="1" applyAlignment="1" applyProtection="1" quotePrefix="1">
      <alignment horizontal="center" vertical="center" wrapText="1"/>
      <protection/>
    </xf>
    <xf numFmtId="0" fontId="9" fillId="6" borderId="3" xfId="0" applyFont="1" applyFill="1" applyBorder="1" applyAlignment="1" applyProtection="1">
      <alignment horizontal="center" vertical="center" wrapText="1"/>
      <protection/>
    </xf>
    <xf numFmtId="0" fontId="7" fillId="7" borderId="22" xfId="23" applyFill="1" applyBorder="1" applyAlignment="1" applyProtection="1">
      <alignment horizontal="center" vertical="center" wrapText="1"/>
      <protection/>
    </xf>
    <xf numFmtId="0" fontId="7" fillId="7" borderId="23" xfId="23" applyFill="1" applyBorder="1" applyAlignment="1" applyProtection="1">
      <alignment horizontal="center" vertical="center" wrapText="1"/>
      <protection/>
    </xf>
    <xf numFmtId="0" fontId="6" fillId="5" borderId="4" xfId="0" applyFont="1" applyFill="1" applyBorder="1" applyAlignment="1" applyProtection="1">
      <alignment horizontal="center" vertical="center"/>
      <protection/>
    </xf>
    <xf numFmtId="0" fontId="6" fillId="5" borderId="5" xfId="0" applyFont="1" applyFill="1" applyBorder="1" applyAlignment="1" applyProtection="1">
      <alignment horizontal="center" vertical="center"/>
      <protection/>
    </xf>
    <xf numFmtId="0" fontId="2" fillId="7" borderId="24" xfId="0" applyFont="1" applyFill="1" applyBorder="1" applyAlignment="1" applyProtection="1">
      <alignment horizontal="center" vertical="center" wrapText="1"/>
      <protection/>
    </xf>
    <xf numFmtId="0" fontId="2" fillId="7" borderId="25" xfId="0" applyFont="1" applyFill="1" applyBorder="1" applyAlignment="1" applyProtection="1">
      <alignment horizontal="center" vertical="center" wrapText="1"/>
      <protection/>
    </xf>
    <xf numFmtId="0" fontId="0" fillId="2" borderId="25"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2" fillId="7" borderId="1" xfId="0" applyFont="1" applyFill="1" applyBorder="1" applyAlignment="1" applyProtection="1">
      <alignment horizontal="center" vertical="center" wrapText="1"/>
      <protection/>
    </xf>
    <xf numFmtId="0" fontId="2" fillId="7" borderId="14" xfId="0" applyFont="1" applyFill="1" applyBorder="1" applyAlignment="1" applyProtection="1">
      <alignment horizontal="center" vertical="center" wrapText="1"/>
      <protection/>
    </xf>
    <xf numFmtId="0" fontId="2" fillId="7" borderId="1" xfId="0" applyFont="1" applyFill="1" applyBorder="1" applyAlignment="1" applyProtection="1">
      <alignment horizontal="center" vertical="center"/>
      <protection/>
    </xf>
    <xf numFmtId="0" fontId="8" fillId="3" borderId="0" xfId="0" applyFont="1" applyFill="1" applyBorder="1" applyAlignment="1" applyProtection="1">
      <alignment horizontal="left" vertical="center" wrapText="1"/>
      <protection/>
    </xf>
    <xf numFmtId="0" fontId="11" fillId="8" borderId="25" xfId="0" applyFont="1" applyFill="1" applyBorder="1" applyAlignment="1" applyProtection="1">
      <alignment horizontal="center"/>
      <protection/>
    </xf>
    <xf numFmtId="0" fontId="6" fillId="5" borderId="24" xfId="0" applyFont="1" applyFill="1" applyBorder="1" applyAlignment="1" applyProtection="1">
      <alignment horizontal="center" vertical="center"/>
      <protection/>
    </xf>
    <xf numFmtId="0" fontId="6" fillId="5" borderId="22" xfId="0" applyFont="1" applyFill="1" applyBorder="1" applyAlignment="1" applyProtection="1">
      <alignment horizontal="center" vertical="center"/>
      <protection/>
    </xf>
    <xf numFmtId="0" fontId="0" fillId="3" borderId="0" xfId="0" applyFill="1" applyProtection="1">
      <protection/>
    </xf>
    <xf numFmtId="0" fontId="2" fillId="7" borderId="9" xfId="0" applyFont="1" applyFill="1" applyBorder="1" applyAlignment="1" applyProtection="1">
      <alignment horizontal="left" vertical="center" wrapText="1"/>
      <protection/>
    </xf>
    <xf numFmtId="0" fontId="2" fillId="7" borderId="15" xfId="0" applyFont="1" applyFill="1" applyBorder="1" applyAlignment="1" applyProtection="1">
      <alignment horizontal="left" vertical="center" wrapText="1"/>
      <protection/>
    </xf>
    <xf numFmtId="0" fontId="0" fillId="0" borderId="26" xfId="0" applyBorder="1" applyAlignment="1">
      <alignment horizontal="center" vertical="center" wrapText="1"/>
    </xf>
    <xf numFmtId="0" fontId="0" fillId="0" borderId="8" xfId="0"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Milliers" xfId="20"/>
    <cellStyle name="Monétaire" xfId="21"/>
    <cellStyle name="Pourcentage" xfId="22"/>
    <cellStyle name="Lien hypertexte" xfId="23"/>
  </cellStyles>
  <dxfs count="40">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abSelected="1" zoomScale="70" zoomScaleNormal="70" workbookViewId="0" topLeftCell="A13">
      <selection activeCell="I23" sqref="I23"/>
    </sheetView>
  </sheetViews>
  <sheetFormatPr defaultColWidth="11.421875" defaultRowHeight="15"/>
  <cols>
    <col min="1" max="1" width="4.28125" style="60" customWidth="1"/>
    <col min="2" max="2" width="27.8515625" style="60" customWidth="1"/>
    <col min="3" max="3" width="18.140625" style="60" customWidth="1"/>
    <col min="4" max="4" width="38.00390625" style="60" customWidth="1"/>
    <col min="5" max="5" width="25.57421875" style="60" customWidth="1"/>
    <col min="6" max="6" width="18.57421875" style="60" customWidth="1"/>
    <col min="7" max="7" width="26.57421875" style="60" customWidth="1"/>
    <col min="8" max="8" width="25.57421875" style="60" customWidth="1"/>
    <col min="9" max="9" width="22.421875" style="60" customWidth="1"/>
    <col min="10" max="10" width="11.421875" style="60" customWidth="1"/>
    <col min="11" max="11" width="15.421875" style="60" customWidth="1"/>
    <col min="12" max="12" width="13.7109375" style="60" customWidth="1"/>
  </cols>
  <sheetData>
    <row r="1" spans="1:12" s="5" customFormat="1" ht="15">
      <c r="A1" s="19"/>
      <c r="B1" s="20"/>
      <c r="C1" s="20"/>
      <c r="D1" s="20"/>
      <c r="E1" s="20"/>
      <c r="F1" s="21"/>
      <c r="G1" s="20"/>
      <c r="H1" s="20"/>
      <c r="I1" s="20"/>
      <c r="J1" s="20"/>
      <c r="K1" s="20"/>
      <c r="L1" s="20"/>
    </row>
    <row r="2" spans="1:12" s="5" customFormat="1" ht="21">
      <c r="A2" s="19"/>
      <c r="B2" s="20"/>
      <c r="C2" s="61" t="s">
        <v>55</v>
      </c>
      <c r="D2" s="62"/>
      <c r="E2" s="62"/>
      <c r="F2" s="62"/>
      <c r="G2" s="62"/>
      <c r="H2" s="62"/>
      <c r="I2" s="62"/>
      <c r="J2" s="63"/>
      <c r="K2" s="20"/>
      <c r="L2" s="20"/>
    </row>
    <row r="3" spans="1:14" s="5" customFormat="1" ht="55.5" customHeight="1" thickBot="1">
      <c r="A3" s="20"/>
      <c r="B3" s="22"/>
      <c r="C3" s="64" t="s">
        <v>74</v>
      </c>
      <c r="D3" s="64"/>
      <c r="E3" s="64"/>
      <c r="F3" s="64"/>
      <c r="G3" s="64"/>
      <c r="H3" s="64"/>
      <c r="I3" s="64"/>
      <c r="J3" s="64"/>
      <c r="K3" s="22"/>
      <c r="L3" s="22"/>
      <c r="M3" s="15"/>
      <c r="N3" s="15"/>
    </row>
    <row r="4" spans="1:12" ht="19" thickBot="1">
      <c r="A4" s="59"/>
      <c r="B4" s="74" t="s">
        <v>56</v>
      </c>
      <c r="C4" s="74"/>
      <c r="D4" s="74"/>
      <c r="E4" s="74"/>
      <c r="F4" s="59"/>
      <c r="G4" s="59"/>
      <c r="H4" s="59"/>
      <c r="I4" s="59"/>
      <c r="J4" s="59"/>
      <c r="K4" s="59"/>
      <c r="L4" s="59"/>
    </row>
    <row r="5" spans="1:12" ht="14.65" customHeight="1">
      <c r="A5" s="59"/>
      <c r="B5" s="77" t="s">
        <v>49</v>
      </c>
      <c r="C5" s="100" t="s">
        <v>11</v>
      </c>
      <c r="D5" s="100"/>
      <c r="E5" s="16" t="s">
        <v>26</v>
      </c>
      <c r="F5" s="59"/>
      <c r="G5" s="27" t="str">
        <f>IF(E5="Moins de 65 ans et non déclaré inapte au travail","VOUS NE POUVEZ PAS BÉNÉFICIER DE L'ASH","")</f>
        <v/>
      </c>
      <c r="H5" s="28"/>
      <c r="I5" s="59"/>
      <c r="J5" s="59"/>
      <c r="K5" s="59"/>
      <c r="L5" s="59"/>
    </row>
    <row r="6" spans="1:12" ht="44.65" customHeight="1">
      <c r="A6" s="59"/>
      <c r="B6" s="78"/>
      <c r="C6" s="98" t="s">
        <v>5</v>
      </c>
      <c r="D6" s="98"/>
      <c r="E6" s="16" t="s">
        <v>27</v>
      </c>
      <c r="F6" s="101" t="str">
        <f>IF(E6="NON","La Ville de Paris n'est pas compétente pour vous verser l'ASH, rapprochez-vous du département dans lequel vous avez résidé avant votre admission en établissement.","")</f>
        <v/>
      </c>
      <c r="G6" s="101"/>
      <c r="H6" s="101"/>
      <c r="I6" s="101"/>
      <c r="J6" s="59"/>
      <c r="K6" s="59"/>
      <c r="L6" s="59"/>
    </row>
    <row r="7" spans="1:12" ht="14.65" customHeight="1">
      <c r="A7" s="59"/>
      <c r="B7" s="78"/>
      <c r="C7" s="98" t="s">
        <v>6</v>
      </c>
      <c r="D7" s="98"/>
      <c r="E7" s="17" t="s">
        <v>28</v>
      </c>
      <c r="F7" s="28"/>
      <c r="G7" s="28"/>
      <c r="H7" s="28"/>
      <c r="I7" s="59"/>
      <c r="J7" s="59"/>
      <c r="K7" s="59"/>
      <c r="L7" s="59"/>
    </row>
    <row r="8" spans="1:12" ht="14.65" customHeight="1">
      <c r="A8" s="59"/>
      <c r="B8" s="78"/>
      <c r="C8" s="98" t="s">
        <v>12</v>
      </c>
      <c r="D8" s="98"/>
      <c r="E8" s="18">
        <v>4</v>
      </c>
      <c r="F8" s="29"/>
      <c r="G8" s="28"/>
      <c r="H8" s="28"/>
      <c r="I8" s="59"/>
      <c r="J8" s="59"/>
      <c r="K8" s="59"/>
      <c r="L8" s="59"/>
    </row>
    <row r="9" spans="1:12" ht="14.65" customHeight="1">
      <c r="A9" s="59"/>
      <c r="B9" s="78"/>
      <c r="C9" s="98" t="s">
        <v>13</v>
      </c>
      <c r="D9" s="98"/>
      <c r="E9" s="18">
        <v>5</v>
      </c>
      <c r="F9" s="29"/>
      <c r="G9" s="28"/>
      <c r="H9" s="28"/>
      <c r="I9" s="59"/>
      <c r="J9" s="59"/>
      <c r="K9" s="59"/>
      <c r="L9" s="59"/>
    </row>
    <row r="10" spans="1:12" ht="56.65" customHeight="1">
      <c r="A10" s="59"/>
      <c r="B10" s="78"/>
      <c r="C10" s="99" t="s">
        <v>62</v>
      </c>
      <c r="D10" s="99"/>
      <c r="E10" s="79">
        <v>12000</v>
      </c>
      <c r="F10" s="59"/>
      <c r="G10" s="105"/>
      <c r="H10" s="105"/>
      <c r="I10" s="59"/>
      <c r="J10" s="59"/>
      <c r="K10" s="59"/>
      <c r="L10" s="59"/>
    </row>
    <row r="11" spans="1:12" ht="26.25" customHeight="1">
      <c r="A11" s="59"/>
      <c r="B11" s="78"/>
      <c r="C11" s="80" t="s">
        <v>24</v>
      </c>
      <c r="D11" s="81"/>
      <c r="E11" s="79"/>
      <c r="F11" s="59"/>
      <c r="G11" s="30"/>
      <c r="H11" s="30"/>
      <c r="I11" s="59"/>
      <c r="J11" s="59"/>
      <c r="K11" s="59"/>
      <c r="L11" s="59"/>
    </row>
    <row r="12" spans="1:12" ht="16" customHeight="1" thickBot="1">
      <c r="A12" s="59"/>
      <c r="B12" s="75"/>
      <c r="C12" s="75"/>
      <c r="D12" s="75"/>
      <c r="E12" s="75"/>
      <c r="F12" s="31"/>
      <c r="G12" s="59"/>
      <c r="H12" s="59"/>
      <c r="I12" s="59"/>
      <c r="J12" s="59"/>
      <c r="K12" s="59"/>
      <c r="L12" s="59"/>
    </row>
    <row r="13" spans="1:12" ht="22.75" customHeight="1" thickBot="1">
      <c r="A13" s="59"/>
      <c r="B13" s="74" t="s">
        <v>57</v>
      </c>
      <c r="C13" s="74"/>
      <c r="D13" s="74"/>
      <c r="E13" s="74"/>
      <c r="F13" s="31"/>
      <c r="G13" s="74" t="s">
        <v>54</v>
      </c>
      <c r="H13" s="74"/>
      <c r="I13" s="102"/>
      <c r="J13" s="59"/>
      <c r="K13" s="59"/>
      <c r="L13" s="59"/>
    </row>
    <row r="14" spans="1:12" ht="75.75" customHeight="1" thickBot="1">
      <c r="A14" s="59"/>
      <c r="B14" s="103" t="s">
        <v>50</v>
      </c>
      <c r="C14" s="94" t="s">
        <v>63</v>
      </c>
      <c r="D14" s="95"/>
      <c r="E14" s="72">
        <v>14000</v>
      </c>
      <c r="F14" s="73"/>
      <c r="G14" s="32" t="s">
        <v>75</v>
      </c>
      <c r="H14" s="33" t="s">
        <v>65</v>
      </c>
      <c r="I14" s="34" t="s">
        <v>66</v>
      </c>
      <c r="J14" s="59"/>
      <c r="K14" s="59"/>
      <c r="L14" s="59"/>
    </row>
    <row r="15" spans="1:12" ht="37.5" customHeight="1" thickBot="1">
      <c r="A15" s="59"/>
      <c r="B15" s="104"/>
      <c r="C15" s="90" t="s">
        <v>25</v>
      </c>
      <c r="D15" s="91"/>
      <c r="E15" s="72"/>
      <c r="F15" s="73"/>
      <c r="G15" s="35">
        <f>E14/12</f>
        <v>1166.6666666666667</v>
      </c>
      <c r="H15" s="36">
        <f>VLOOKUP(G15,tranches!A2:D65,4)</f>
        <v>0</v>
      </c>
      <c r="I15" s="37">
        <f>G15*H15</f>
        <v>0</v>
      </c>
      <c r="J15" s="59"/>
      <c r="K15" s="59"/>
      <c r="L15" s="59"/>
    </row>
    <row r="16" spans="1:12" ht="15">
      <c r="A16" s="59"/>
      <c r="B16" s="28"/>
      <c r="C16" s="28"/>
      <c r="D16" s="59"/>
      <c r="E16" s="59"/>
      <c r="F16" s="38"/>
      <c r="G16" s="59"/>
      <c r="H16" s="59"/>
      <c r="I16" s="59"/>
      <c r="J16" s="59"/>
      <c r="K16" s="59"/>
      <c r="L16" s="59"/>
    </row>
    <row r="17" spans="1:12" ht="19" thickBot="1">
      <c r="A17" s="59"/>
      <c r="B17" s="76" t="s">
        <v>58</v>
      </c>
      <c r="C17" s="76"/>
      <c r="D17" s="76"/>
      <c r="E17" s="76"/>
      <c r="F17" s="76"/>
      <c r="G17" s="76"/>
      <c r="H17" s="76"/>
      <c r="I17" s="76"/>
      <c r="J17" s="59"/>
      <c r="K17" s="59"/>
      <c r="L17" s="28"/>
    </row>
    <row r="18" spans="1:12" ht="21" customHeight="1">
      <c r="A18" s="59"/>
      <c r="B18" s="39" t="s">
        <v>51</v>
      </c>
      <c r="C18" s="82" t="s">
        <v>10</v>
      </c>
      <c r="D18" s="70" t="s">
        <v>7</v>
      </c>
      <c r="E18" s="106" t="s">
        <v>9</v>
      </c>
      <c r="F18" s="70" t="s">
        <v>8</v>
      </c>
      <c r="G18" s="65" t="s">
        <v>67</v>
      </c>
      <c r="H18" s="67" t="s">
        <v>68</v>
      </c>
      <c r="I18" s="68" t="s">
        <v>69</v>
      </c>
      <c r="J18" s="59"/>
      <c r="K18" s="59"/>
      <c r="L18" s="40"/>
    </row>
    <row r="19" spans="1:12" ht="48" customHeight="1" thickBot="1">
      <c r="A19" s="59"/>
      <c r="B19" s="41" t="s">
        <v>64</v>
      </c>
      <c r="C19" s="83"/>
      <c r="D19" s="71"/>
      <c r="E19" s="107"/>
      <c r="F19" s="71"/>
      <c r="G19" s="66"/>
      <c r="H19" s="66"/>
      <c r="I19" s="69"/>
      <c r="J19" s="59"/>
      <c r="K19" s="59"/>
      <c r="L19" s="40"/>
    </row>
    <row r="20" spans="1:12" ht="16" customHeight="1">
      <c r="A20" s="59"/>
      <c r="B20" s="42" t="s">
        <v>29</v>
      </c>
      <c r="C20" s="23" t="s">
        <v>72</v>
      </c>
      <c r="D20" s="24">
        <v>64000</v>
      </c>
      <c r="E20" s="25">
        <v>0</v>
      </c>
      <c r="F20" s="26">
        <v>2</v>
      </c>
      <c r="G20" s="43">
        <f>MAX((D20-E20)/12-IF(C20="Oui",788,394)-F20*394,0)</f>
        <v>3757.333333333333</v>
      </c>
      <c r="H20" s="44">
        <f>VLOOKUP(G20,tranches!A2:D65,4)</f>
        <v>0.12500000000000006</v>
      </c>
      <c r="I20" s="45">
        <f>IF(E8&gt;=1,ROUND(H20*G20,0),0)</f>
        <v>470</v>
      </c>
      <c r="J20" s="59"/>
      <c r="K20" s="59"/>
      <c r="L20" s="28"/>
    </row>
    <row r="21" spans="1:12" ht="15">
      <c r="A21" s="59"/>
      <c r="B21" s="42" t="s">
        <v>30</v>
      </c>
      <c r="C21" s="23" t="s">
        <v>72</v>
      </c>
      <c r="D21" s="24">
        <v>6000</v>
      </c>
      <c r="E21" s="25">
        <v>0</v>
      </c>
      <c r="F21" s="26">
        <v>0</v>
      </c>
      <c r="G21" s="43">
        <f>MAX((D21-E21)/12-IF(C21="Oui",788,394)-F21*394,0)</f>
        <v>0</v>
      </c>
      <c r="H21" s="44">
        <f>VLOOKUP(G21,tranches!A2:D65,4)</f>
        <v>0</v>
      </c>
      <c r="I21" s="45">
        <f>IF(E8&gt;=2,ROUND(H21*G21,0),0)</f>
        <v>0</v>
      </c>
      <c r="J21" s="59"/>
      <c r="K21" s="59"/>
      <c r="L21" s="28"/>
    </row>
    <row r="22" spans="1:12" ht="15">
      <c r="A22" s="59"/>
      <c r="B22" s="42" t="s">
        <v>31</v>
      </c>
      <c r="C22" s="23" t="s">
        <v>73</v>
      </c>
      <c r="D22" s="24">
        <v>61000</v>
      </c>
      <c r="E22" s="25">
        <v>500</v>
      </c>
      <c r="F22" s="26">
        <v>2</v>
      </c>
      <c r="G22" s="43">
        <f aca="true" t="shared" si="0" ref="G22:G29">MAX((D22-E22)/12-IF(C22="Oui",788,394)-F22*394,0)</f>
        <v>3859.666666666667</v>
      </c>
      <c r="H22" s="44">
        <f>VLOOKUP(G22,tranches!A2:D65,4)</f>
        <v>0.13000000000000006</v>
      </c>
      <c r="I22" s="45">
        <f>IF(E8&gt;=3,ROUND(H22*G22,0),0)</f>
        <v>502</v>
      </c>
      <c r="J22" s="59"/>
      <c r="K22" s="59"/>
      <c r="L22" s="28"/>
    </row>
    <row r="23" spans="1:12" ht="15">
      <c r="A23" s="59"/>
      <c r="B23" s="42" t="s">
        <v>32</v>
      </c>
      <c r="C23" s="23" t="s">
        <v>73</v>
      </c>
      <c r="D23" s="24">
        <v>28000</v>
      </c>
      <c r="E23" s="25">
        <v>0</v>
      </c>
      <c r="F23" s="26">
        <v>1</v>
      </c>
      <c r="G23" s="43">
        <f t="shared" si="0"/>
        <v>1545.3333333333335</v>
      </c>
      <c r="H23" s="44">
        <f>VLOOKUP(G23,tranches!A2:D65,4)</f>
        <v>0.055</v>
      </c>
      <c r="I23" s="45">
        <f>IF(E8&gt;=4,ROUND(H23*G23,0),0)</f>
        <v>85</v>
      </c>
      <c r="J23" s="59"/>
      <c r="K23" s="59"/>
      <c r="L23" s="59"/>
    </row>
    <row r="24" spans="1:12" ht="15">
      <c r="A24" s="59"/>
      <c r="B24" s="42" t="s">
        <v>33</v>
      </c>
      <c r="C24" s="23"/>
      <c r="D24" s="24"/>
      <c r="E24" s="25"/>
      <c r="F24" s="26"/>
      <c r="G24" s="43">
        <f t="shared" si="0"/>
        <v>0</v>
      </c>
      <c r="H24" s="44">
        <f>VLOOKUP(G24,tranches!A2:D65,4)</f>
        <v>0</v>
      </c>
      <c r="I24" s="45">
        <f>IF(E8&gt;=5,ROUND(H24*G24,0),0)</f>
        <v>0</v>
      </c>
      <c r="J24" s="59"/>
      <c r="K24" s="59"/>
      <c r="L24" s="59"/>
    </row>
    <row r="25" spans="1:12" ht="15">
      <c r="A25" s="59"/>
      <c r="B25" s="42" t="s">
        <v>34</v>
      </c>
      <c r="C25" s="23"/>
      <c r="D25" s="24"/>
      <c r="E25" s="25"/>
      <c r="F25" s="26"/>
      <c r="G25" s="43">
        <f t="shared" si="0"/>
        <v>0</v>
      </c>
      <c r="H25" s="44">
        <f>VLOOKUP(G24,tranches!A2:D65,4)</f>
        <v>0</v>
      </c>
      <c r="I25" s="45">
        <f>IF(E8&gt;=6,ROUND(H25*G25,0),0)</f>
        <v>0</v>
      </c>
      <c r="J25" s="59"/>
      <c r="K25" s="59"/>
      <c r="L25" s="59"/>
    </row>
    <row r="26" spans="1:12" ht="15">
      <c r="A26" s="59"/>
      <c r="B26" s="42" t="s">
        <v>35</v>
      </c>
      <c r="C26" s="23"/>
      <c r="D26" s="24"/>
      <c r="E26" s="25"/>
      <c r="F26" s="26"/>
      <c r="G26" s="43">
        <f>MAX((D26-E26)/12-IF(C26="Oui",788,394)-F26*394,0)</f>
        <v>0</v>
      </c>
      <c r="H26" s="44">
        <f>VLOOKUP(G26,tranches!A2:D65,4)</f>
        <v>0</v>
      </c>
      <c r="I26" s="45">
        <f>IF(E8&gt;=7,ROUND(H26*G26,0),0)</f>
        <v>0</v>
      </c>
      <c r="J26" s="59"/>
      <c r="K26" s="59"/>
      <c r="L26" s="59"/>
    </row>
    <row r="27" spans="1:12" ht="15">
      <c r="A27" s="59"/>
      <c r="B27" s="42" t="s">
        <v>36</v>
      </c>
      <c r="C27" s="23"/>
      <c r="D27" s="24"/>
      <c r="E27" s="25"/>
      <c r="F27" s="26"/>
      <c r="G27" s="43">
        <f t="shared" si="0"/>
        <v>0</v>
      </c>
      <c r="H27" s="44">
        <f>VLOOKUP(G26,tranches!A2:D65,4)</f>
        <v>0</v>
      </c>
      <c r="I27" s="45">
        <f>IF(E8&gt;=8,ROUND(H27*G27,0),0)</f>
        <v>0</v>
      </c>
      <c r="J27" s="59"/>
      <c r="K27" s="59"/>
      <c r="L27" s="59"/>
    </row>
    <row r="28" spans="1:12" ht="15">
      <c r="A28" s="59"/>
      <c r="B28" s="42" t="s">
        <v>37</v>
      </c>
      <c r="C28" s="23"/>
      <c r="D28" s="24"/>
      <c r="E28" s="25"/>
      <c r="F28" s="26"/>
      <c r="G28" s="43">
        <f t="shared" si="0"/>
        <v>0</v>
      </c>
      <c r="H28" s="44">
        <f>VLOOKUP(G28,tranches!A2:D65,4)</f>
        <v>0</v>
      </c>
      <c r="I28" s="45">
        <f>IF(E8&gt;=9,ROUND(H28*G28,0),0)</f>
        <v>0</v>
      </c>
      <c r="J28" s="59"/>
      <c r="K28" s="59"/>
      <c r="L28" s="59"/>
    </row>
    <row r="29" spans="1:12" ht="15">
      <c r="A29" s="59"/>
      <c r="B29" s="42" t="s">
        <v>38</v>
      </c>
      <c r="C29" s="23"/>
      <c r="D29" s="24"/>
      <c r="E29" s="25"/>
      <c r="F29" s="26"/>
      <c r="G29" s="43">
        <f t="shared" si="0"/>
        <v>0</v>
      </c>
      <c r="H29" s="44">
        <f>VLOOKUP(G28,tranches!A2:D65,4)</f>
        <v>0</v>
      </c>
      <c r="I29" s="45">
        <f>IF(E8&gt;=10,ROUND(H29*G29,0),0)</f>
        <v>0</v>
      </c>
      <c r="J29" s="59"/>
      <c r="K29" s="59"/>
      <c r="L29" s="59"/>
    </row>
    <row r="30" spans="1:12" ht="15">
      <c r="A30" s="59"/>
      <c r="B30" s="28"/>
      <c r="C30" s="59"/>
      <c r="D30" s="59"/>
      <c r="E30" s="59"/>
      <c r="F30" s="59"/>
      <c r="G30" s="59"/>
      <c r="H30" s="59"/>
      <c r="I30" s="59"/>
      <c r="J30" s="59"/>
      <c r="K30" s="59"/>
      <c r="L30" s="59"/>
    </row>
    <row r="31" spans="1:12" ht="19" thickBot="1">
      <c r="A31" s="59"/>
      <c r="B31" s="76" t="s">
        <v>59</v>
      </c>
      <c r="C31" s="76"/>
      <c r="D31" s="76"/>
      <c r="E31" s="76"/>
      <c r="F31" s="76"/>
      <c r="G31" s="76"/>
      <c r="H31" s="76"/>
      <c r="I31" s="76"/>
      <c r="J31" s="59"/>
      <c r="K31" s="59"/>
      <c r="L31" s="59"/>
    </row>
    <row r="32" spans="1:12" ht="74.25" customHeight="1">
      <c r="A32" s="59"/>
      <c r="B32" s="46" t="s">
        <v>52</v>
      </c>
      <c r="C32" s="57" t="s">
        <v>10</v>
      </c>
      <c r="D32" s="57" t="s">
        <v>7</v>
      </c>
      <c r="E32" s="57" t="s">
        <v>9</v>
      </c>
      <c r="F32" s="57" t="s">
        <v>8</v>
      </c>
      <c r="G32" s="32" t="s">
        <v>70</v>
      </c>
      <c r="H32" s="47" t="s">
        <v>65</v>
      </c>
      <c r="I32" s="48" t="s">
        <v>71</v>
      </c>
      <c r="J32" s="59"/>
      <c r="K32" s="59"/>
      <c r="L32" s="59"/>
    </row>
    <row r="33" spans="1:12" ht="15">
      <c r="A33" s="59"/>
      <c r="B33" s="42" t="s">
        <v>39</v>
      </c>
      <c r="C33" s="23" t="s">
        <v>72</v>
      </c>
      <c r="D33" s="24">
        <v>30000</v>
      </c>
      <c r="E33" s="25">
        <v>0</v>
      </c>
      <c r="F33" s="26">
        <v>1</v>
      </c>
      <c r="G33" s="43">
        <f>MAX((D33-E33)/12-IF(C33="Oui",788,394)-F33*394,0)</f>
        <v>1318</v>
      </c>
      <c r="H33" s="44">
        <f>VLOOKUP(G33,tranches!$G$1:$J$65,4)</f>
        <v>0</v>
      </c>
      <c r="I33" s="45">
        <f>IF($E$9&gt;=1,ROUND(H33*G33,0),0)</f>
        <v>0</v>
      </c>
      <c r="J33" s="59"/>
      <c r="K33" s="59"/>
      <c r="L33" s="59"/>
    </row>
    <row r="34" spans="1:12" ht="15">
      <c r="A34" s="59"/>
      <c r="B34" s="42" t="s">
        <v>40</v>
      </c>
      <c r="C34" s="23" t="s">
        <v>72</v>
      </c>
      <c r="D34" s="24">
        <v>70000</v>
      </c>
      <c r="E34" s="25">
        <v>0</v>
      </c>
      <c r="F34" s="26">
        <v>2</v>
      </c>
      <c r="G34" s="43">
        <f aca="true" t="shared" si="1" ref="G34:G42">MAX((D34-E34)/12-IF(C34="Oui",788,394)-F34*394,0)</f>
        <v>4257.333333333333</v>
      </c>
      <c r="H34" s="44">
        <f>VLOOKUP(G34,tranches!$G$1:$J$65,4)</f>
        <v>0.07000000000000003</v>
      </c>
      <c r="I34" s="45">
        <f>IF($E$9&gt;=2,ROUND(H34*G34,0),0)</f>
        <v>298</v>
      </c>
      <c r="J34" s="59"/>
      <c r="K34" s="59"/>
      <c r="L34" s="59"/>
    </row>
    <row r="35" spans="1:12" ht="15">
      <c r="A35" s="59"/>
      <c r="B35" s="42" t="s">
        <v>41</v>
      </c>
      <c r="C35" s="23" t="s">
        <v>73</v>
      </c>
      <c r="D35" s="24">
        <v>3000</v>
      </c>
      <c r="E35" s="25">
        <v>0</v>
      </c>
      <c r="F35" s="26">
        <v>0</v>
      </c>
      <c r="G35" s="43">
        <f t="shared" si="1"/>
        <v>0</v>
      </c>
      <c r="H35" s="44">
        <f>VLOOKUP(G35,tranches!$G$1:$J$65,4)</f>
        <v>0</v>
      </c>
      <c r="I35" s="45">
        <f>IF($E$9&gt;=3,ROUND(H35*G35,0),0)</f>
        <v>0</v>
      </c>
      <c r="J35" s="59"/>
      <c r="K35" s="59"/>
      <c r="L35" s="59"/>
    </row>
    <row r="36" spans="1:12" ht="15">
      <c r="A36" s="59"/>
      <c r="B36" s="42" t="s">
        <v>42</v>
      </c>
      <c r="C36" s="23" t="s">
        <v>73</v>
      </c>
      <c r="D36" s="24">
        <v>0</v>
      </c>
      <c r="E36" s="25">
        <v>0</v>
      </c>
      <c r="F36" s="26">
        <v>0</v>
      </c>
      <c r="G36" s="43">
        <f t="shared" si="1"/>
        <v>0</v>
      </c>
      <c r="H36" s="44">
        <f>VLOOKUP(G36,tranches!$G$1:$J$65,4)</f>
        <v>0</v>
      </c>
      <c r="I36" s="45">
        <f>IF($E$9&gt;=4,ROUND(H36*G36,0),0)</f>
        <v>0</v>
      </c>
      <c r="J36" s="59"/>
      <c r="K36" s="59"/>
      <c r="L36" s="59"/>
    </row>
    <row r="37" spans="1:12" ht="15">
      <c r="A37" s="59"/>
      <c r="B37" s="42" t="s">
        <v>43</v>
      </c>
      <c r="C37" s="23" t="s">
        <v>73</v>
      </c>
      <c r="D37" s="24">
        <v>0</v>
      </c>
      <c r="E37" s="25">
        <v>0</v>
      </c>
      <c r="F37" s="26">
        <v>0</v>
      </c>
      <c r="G37" s="43">
        <f t="shared" si="1"/>
        <v>0</v>
      </c>
      <c r="H37" s="44">
        <f>VLOOKUP(G37,tranches!$G$1:$J$65,4)</f>
        <v>0</v>
      </c>
      <c r="I37" s="45">
        <f>IF($E$9&gt;=5,ROUND(H37*G37,0),0)</f>
        <v>0</v>
      </c>
      <c r="J37" s="59"/>
      <c r="K37" s="59"/>
      <c r="L37" s="59"/>
    </row>
    <row r="38" spans="1:12" ht="15">
      <c r="A38" s="59"/>
      <c r="B38" s="42" t="s">
        <v>44</v>
      </c>
      <c r="C38" s="23"/>
      <c r="D38" s="24"/>
      <c r="E38" s="25"/>
      <c r="F38" s="26"/>
      <c r="G38" s="43">
        <f t="shared" si="1"/>
        <v>0</v>
      </c>
      <c r="H38" s="44">
        <f>VLOOKUP(G38,tranches!$G$1:$J$65,4)</f>
        <v>0</v>
      </c>
      <c r="I38" s="45">
        <f>IF($E$9&gt;=6,ROUND(H38*G38,0),0)</f>
        <v>0</v>
      </c>
      <c r="J38" s="59"/>
      <c r="K38" s="59"/>
      <c r="L38" s="59"/>
    </row>
    <row r="39" spans="1:12" ht="15">
      <c r="A39" s="59"/>
      <c r="B39" s="42" t="s">
        <v>45</v>
      </c>
      <c r="C39" s="23"/>
      <c r="D39" s="24"/>
      <c r="E39" s="25"/>
      <c r="F39" s="26"/>
      <c r="G39" s="43">
        <f t="shared" si="1"/>
        <v>0</v>
      </c>
      <c r="H39" s="44">
        <f>VLOOKUP(G39,tranches!$G$1:$J$65,4)</f>
        <v>0</v>
      </c>
      <c r="I39" s="45">
        <f>IF($E$9&gt;=7,ROUND(H39*G39,0),0)</f>
        <v>0</v>
      </c>
      <c r="J39" s="59"/>
      <c r="K39" s="59"/>
      <c r="L39" s="59"/>
    </row>
    <row r="40" spans="1:12" ht="15">
      <c r="A40" s="59"/>
      <c r="B40" s="42" t="s">
        <v>46</v>
      </c>
      <c r="C40" s="23"/>
      <c r="D40" s="24"/>
      <c r="E40" s="25"/>
      <c r="F40" s="26"/>
      <c r="G40" s="43">
        <f t="shared" si="1"/>
        <v>0</v>
      </c>
      <c r="H40" s="44">
        <f>VLOOKUP(G40,tranches!$G$1:$J$65,4)</f>
        <v>0</v>
      </c>
      <c r="I40" s="45">
        <f>IF($E$9&gt;=8,ROUND(H40*G40,0),0)</f>
        <v>0</v>
      </c>
      <c r="J40" s="59"/>
      <c r="K40" s="59"/>
      <c r="L40" s="59"/>
    </row>
    <row r="41" spans="1:12" ht="15">
      <c r="A41" s="59"/>
      <c r="B41" s="42" t="s">
        <v>47</v>
      </c>
      <c r="C41" s="23"/>
      <c r="D41" s="24"/>
      <c r="E41" s="25"/>
      <c r="F41" s="26"/>
      <c r="G41" s="43">
        <f t="shared" si="1"/>
        <v>0</v>
      </c>
      <c r="H41" s="44">
        <f>VLOOKUP(G41,tranches!$G$1:$J$65,4)</f>
        <v>0</v>
      </c>
      <c r="I41" s="45">
        <f>IF($E$9&gt;=9,ROUND(H41*G41,0),0)</f>
        <v>0</v>
      </c>
      <c r="J41" s="59"/>
      <c r="K41" s="59"/>
      <c r="L41" s="59"/>
    </row>
    <row r="42" spans="1:12" ht="15">
      <c r="A42" s="59"/>
      <c r="B42" s="42" t="s">
        <v>48</v>
      </c>
      <c r="C42" s="23"/>
      <c r="D42" s="24"/>
      <c r="E42" s="25"/>
      <c r="F42" s="26"/>
      <c r="G42" s="43">
        <f t="shared" si="1"/>
        <v>0</v>
      </c>
      <c r="H42" s="44">
        <f>VLOOKUP(G42,tranches!$G$1:$J$65,4)</f>
        <v>0</v>
      </c>
      <c r="I42" s="45">
        <f>IF($E$9&gt;=10,ROUND(H42*G42,0),0)</f>
        <v>0</v>
      </c>
      <c r="J42" s="59"/>
      <c r="K42" s="59"/>
      <c r="L42" s="59"/>
    </row>
    <row r="43" spans="1:12" ht="15">
      <c r="A43" s="59"/>
      <c r="B43" s="49"/>
      <c r="C43" s="49"/>
      <c r="D43" s="50"/>
      <c r="E43" s="49"/>
      <c r="F43" s="28"/>
      <c r="G43" s="50"/>
      <c r="H43" s="51"/>
      <c r="I43" s="59"/>
      <c r="J43" s="59"/>
      <c r="K43" s="59"/>
      <c r="L43" s="59"/>
    </row>
    <row r="44" spans="1:12" ht="19" thickBot="1">
      <c r="A44" s="59"/>
      <c r="B44" s="76" t="s">
        <v>60</v>
      </c>
      <c r="C44" s="76"/>
      <c r="D44" s="76"/>
      <c r="E44" s="76"/>
      <c r="F44" s="28"/>
      <c r="G44" s="50"/>
      <c r="H44" s="51"/>
      <c r="I44" s="59"/>
      <c r="J44" s="59"/>
      <c r="K44" s="59"/>
      <c r="L44" s="59"/>
    </row>
    <row r="45" spans="1:12" ht="33" customHeight="1">
      <c r="A45" s="59"/>
      <c r="B45" s="92" t="s">
        <v>53</v>
      </c>
      <c r="C45" s="94" t="s">
        <v>20</v>
      </c>
      <c r="D45" s="95"/>
      <c r="E45" s="96">
        <v>2500</v>
      </c>
      <c r="F45" s="58"/>
      <c r="G45" s="52"/>
      <c r="H45" s="51"/>
      <c r="I45" s="59"/>
      <c r="J45" s="59"/>
      <c r="K45" s="59"/>
      <c r="L45" s="59"/>
    </row>
    <row r="46" spans="1:12" ht="30" customHeight="1" thickBot="1">
      <c r="A46" s="59"/>
      <c r="B46" s="93"/>
      <c r="C46" s="90" t="s">
        <v>23</v>
      </c>
      <c r="D46" s="91"/>
      <c r="E46" s="97"/>
      <c r="F46" s="58"/>
      <c r="G46" s="52"/>
      <c r="H46" s="51"/>
      <c r="I46" s="59"/>
      <c r="J46" s="59"/>
      <c r="K46" s="59"/>
      <c r="L46" s="59"/>
    </row>
    <row r="47" spans="1:12" ht="14.65" customHeight="1">
      <c r="A47" s="59"/>
      <c r="B47" s="59"/>
      <c r="C47" s="59"/>
      <c r="D47" s="59"/>
      <c r="E47" s="59"/>
      <c r="F47" s="59"/>
      <c r="G47" s="59"/>
      <c r="H47" s="59"/>
      <c r="I47" s="28"/>
      <c r="J47" s="59"/>
      <c r="K47" s="59"/>
      <c r="L47" s="59"/>
    </row>
    <row r="48" spans="1:12" ht="30" customHeight="1" thickBot="1">
      <c r="A48" s="59"/>
      <c r="B48" s="85" t="s">
        <v>61</v>
      </c>
      <c r="C48" s="85"/>
      <c r="D48" s="85"/>
      <c r="E48" s="85"/>
      <c r="F48" s="85"/>
      <c r="G48" s="85"/>
      <c r="H48" s="59"/>
      <c r="I48" s="28"/>
      <c r="J48" s="59"/>
      <c r="K48" s="59"/>
      <c r="L48" s="59"/>
    </row>
    <row r="49" spans="1:12" ht="49.4" customHeight="1" thickBot="1">
      <c r="A49" s="59"/>
      <c r="B49" s="84" t="s">
        <v>14</v>
      </c>
      <c r="C49" s="86" t="s">
        <v>17</v>
      </c>
      <c r="D49" s="86"/>
      <c r="E49" s="86"/>
      <c r="F49" s="86"/>
      <c r="G49" s="53">
        <f>IF(E10&gt;14412,0.9*(E10/12),(E10/12)-120.1)</f>
        <v>879.9</v>
      </c>
      <c r="H49" s="51"/>
      <c r="I49" s="28"/>
      <c r="J49" s="28"/>
      <c r="K49" s="28"/>
      <c r="L49" s="28"/>
    </row>
    <row r="50" spans="1:12" ht="33" customHeight="1" thickBot="1">
      <c r="A50" s="59"/>
      <c r="B50" s="84"/>
      <c r="C50" s="86" t="s">
        <v>16</v>
      </c>
      <c r="D50" s="86"/>
      <c r="E50" s="86"/>
      <c r="F50" s="86"/>
      <c r="G50" s="53">
        <f>SUM(I20:I29)+SUM(I33:I42)</f>
        <v>1355</v>
      </c>
      <c r="H50" s="51"/>
      <c r="I50" s="28"/>
      <c r="J50" s="28"/>
      <c r="K50" s="28"/>
      <c r="L50" s="28"/>
    </row>
    <row r="51" spans="1:12" ht="37.4" customHeight="1" thickBot="1">
      <c r="A51" s="59"/>
      <c r="B51" s="84"/>
      <c r="C51" s="87" t="s">
        <v>15</v>
      </c>
      <c r="D51" s="87"/>
      <c r="E51" s="87"/>
      <c r="F51" s="87"/>
      <c r="G51" s="54">
        <f>G49+G50</f>
        <v>2234.9</v>
      </c>
      <c r="H51" s="51"/>
      <c r="I51" s="28"/>
      <c r="J51" s="28"/>
      <c r="K51" s="28"/>
      <c r="L51" s="28"/>
    </row>
    <row r="52" spans="1:12" ht="52" customHeight="1" thickBot="1">
      <c r="A52" s="59"/>
      <c r="B52" s="84"/>
      <c r="C52" s="88" t="str">
        <f>IF(G51&gt;=E45,"D'APRES LES INFORMATIONS FOURNIES, VOUS N'ETES PAS ELIGIBLE A L'ASH","D'APRES LES INFORMATIONS FOURNIES, VOUS POURRIEZ BÉNÉFICIER DE L'ASH A HAUTEUR DE :")</f>
        <v>D'APRES LES INFORMATIONS FOURNIES, VOUS POURRIEZ BÉNÉFICIER DE L'ASH A HAUTEUR DE :</v>
      </c>
      <c r="D52" s="89"/>
      <c r="E52" s="89"/>
      <c r="F52" s="89"/>
      <c r="G52" s="55">
        <f>IF(G51&lt;E45,E45-G51,"")</f>
        <v>265.0999999999999</v>
      </c>
      <c r="H52" s="28"/>
      <c r="I52" s="28"/>
      <c r="J52" s="28"/>
      <c r="K52" s="28"/>
      <c r="L52" s="28"/>
    </row>
    <row r="53" spans="1:12" ht="15">
      <c r="A53" s="59"/>
      <c r="B53" s="56"/>
      <c r="C53" s="56"/>
      <c r="D53" s="28"/>
      <c r="E53" s="28"/>
      <c r="F53" s="28"/>
      <c r="G53" s="28"/>
      <c r="H53" s="28"/>
      <c r="I53" s="59"/>
      <c r="J53" s="59"/>
      <c r="K53" s="59"/>
      <c r="L53" s="59"/>
    </row>
    <row r="54" spans="1:12" ht="15">
      <c r="A54" s="59"/>
      <c r="B54" s="28"/>
      <c r="C54" s="28"/>
      <c r="D54" s="59"/>
      <c r="E54" s="59"/>
      <c r="F54" s="28"/>
      <c r="G54" s="28"/>
      <c r="H54" s="28"/>
      <c r="I54" s="59"/>
      <c r="J54" s="59"/>
      <c r="K54" s="59"/>
      <c r="L54" s="59"/>
    </row>
  </sheetData>
  <sheetProtection algorithmName="SHA-512" hashValue="nqOE8Xjf5VRCNuN48Xm/Tq7Wss7XkLd+QJ+bIJ1kDATxmLPtpH/gBvIQicOg/EndXROOX7fmAklKThOH5hzr1g==" saltValue="XeyfY+3jP+lpwx4gv+eGFw==" spinCount="100000" sheet="1" objects="1" scenarios="1"/>
  <mergeCells count="42">
    <mergeCell ref="B31:I31"/>
    <mergeCell ref="C9:D9"/>
    <mergeCell ref="C10:D10"/>
    <mergeCell ref="C5:D5"/>
    <mergeCell ref="C6:D6"/>
    <mergeCell ref="F6:I6"/>
    <mergeCell ref="C7:D7"/>
    <mergeCell ref="C8:D8"/>
    <mergeCell ref="G13:I13"/>
    <mergeCell ref="B14:B15"/>
    <mergeCell ref="C15:D15"/>
    <mergeCell ref="G10:H10"/>
    <mergeCell ref="D18:D19"/>
    <mergeCell ref="E18:E19"/>
    <mergeCell ref="C14:D14"/>
    <mergeCell ref="B49:B52"/>
    <mergeCell ref="B44:E44"/>
    <mergeCell ref="B48:G48"/>
    <mergeCell ref="C49:F49"/>
    <mergeCell ref="C50:F50"/>
    <mergeCell ref="C51:F51"/>
    <mergeCell ref="C52:F52"/>
    <mergeCell ref="C46:D46"/>
    <mergeCell ref="B45:B46"/>
    <mergeCell ref="C45:D45"/>
    <mergeCell ref="E45:E46"/>
    <mergeCell ref="C2:J2"/>
    <mergeCell ref="C3:J3"/>
    <mergeCell ref="G18:G19"/>
    <mergeCell ref="H18:H19"/>
    <mergeCell ref="I18:I19"/>
    <mergeCell ref="F18:F19"/>
    <mergeCell ref="E14:E15"/>
    <mergeCell ref="F14:F15"/>
    <mergeCell ref="B4:E4"/>
    <mergeCell ref="B12:E12"/>
    <mergeCell ref="B13:E13"/>
    <mergeCell ref="B17:I17"/>
    <mergeCell ref="B5:B11"/>
    <mergeCell ref="E10:E11"/>
    <mergeCell ref="C11:D11"/>
    <mergeCell ref="C18:C19"/>
  </mergeCells>
  <conditionalFormatting sqref="B29:F29">
    <cfRule type="expression" priority="40" dxfId="0">
      <formula>$E$8&lt;10</formula>
    </cfRule>
  </conditionalFormatting>
  <conditionalFormatting sqref="B28:F28">
    <cfRule type="expression" priority="39" dxfId="0">
      <formula>$E$8&lt;9</formula>
    </cfRule>
  </conditionalFormatting>
  <conditionalFormatting sqref="B27:F27">
    <cfRule type="expression" priority="38" dxfId="0">
      <formula>$E$8&lt;8</formula>
    </cfRule>
  </conditionalFormatting>
  <conditionalFormatting sqref="B26:F26">
    <cfRule type="expression" priority="37" dxfId="0">
      <formula>$E$8&lt;7</formula>
    </cfRule>
  </conditionalFormatting>
  <conditionalFormatting sqref="B25:F25">
    <cfRule type="expression" priority="36" dxfId="0">
      <formula>$E$8&lt;6</formula>
    </cfRule>
  </conditionalFormatting>
  <conditionalFormatting sqref="B24:F24">
    <cfRule type="expression" priority="35" dxfId="0">
      <formula>$E$8&lt;5</formula>
    </cfRule>
  </conditionalFormatting>
  <conditionalFormatting sqref="B23:F23">
    <cfRule type="expression" priority="34" dxfId="0">
      <formula>$E$8&lt;4</formula>
    </cfRule>
  </conditionalFormatting>
  <conditionalFormatting sqref="B22:F22">
    <cfRule type="expression" priority="33" dxfId="0">
      <formula>$E$8&lt;3</formula>
    </cfRule>
  </conditionalFormatting>
  <conditionalFormatting sqref="B21:F21">
    <cfRule type="expression" priority="32" dxfId="0">
      <formula>$E$8&lt;2</formula>
    </cfRule>
  </conditionalFormatting>
  <conditionalFormatting sqref="B20:F20">
    <cfRule type="expression" priority="31" dxfId="0">
      <formula>$E$8&lt;1</formula>
    </cfRule>
  </conditionalFormatting>
  <conditionalFormatting sqref="B42:F42">
    <cfRule type="expression" priority="30" dxfId="0">
      <formula>$E$9&lt;10</formula>
    </cfRule>
  </conditionalFormatting>
  <conditionalFormatting sqref="B41:F41">
    <cfRule type="expression" priority="29" dxfId="0">
      <formula>$E$9&lt;9</formula>
    </cfRule>
  </conditionalFormatting>
  <conditionalFormatting sqref="B40:F40">
    <cfRule type="expression" priority="28" dxfId="0">
      <formula>$E$9&lt;8</formula>
    </cfRule>
  </conditionalFormatting>
  <conditionalFormatting sqref="B39:F39">
    <cfRule type="expression" priority="27" dxfId="0">
      <formula>$E$9&lt;7</formula>
    </cfRule>
  </conditionalFormatting>
  <conditionalFormatting sqref="B38:F38">
    <cfRule type="expression" priority="26" dxfId="0">
      <formula>$E$9&lt;6</formula>
    </cfRule>
  </conditionalFormatting>
  <conditionalFormatting sqref="B37:F37">
    <cfRule type="expression" priority="25" dxfId="0">
      <formula>$E$9&lt;5</formula>
    </cfRule>
  </conditionalFormatting>
  <conditionalFormatting sqref="B36:F36">
    <cfRule type="expression" priority="24" dxfId="0">
      <formula>$E$9&lt;4</formula>
    </cfRule>
  </conditionalFormatting>
  <conditionalFormatting sqref="B35:F35">
    <cfRule type="expression" priority="23" dxfId="0">
      <formula>$E$9&lt;3</formula>
    </cfRule>
  </conditionalFormatting>
  <conditionalFormatting sqref="B34:F34">
    <cfRule type="expression" priority="22" dxfId="0">
      <formula>$E$9&lt;2</formula>
    </cfRule>
  </conditionalFormatting>
  <conditionalFormatting sqref="B33:F33">
    <cfRule type="expression" priority="21" dxfId="0">
      <formula>$E$9&lt;1</formula>
    </cfRule>
  </conditionalFormatting>
  <conditionalFormatting sqref="G29:I29">
    <cfRule type="expression" priority="20" dxfId="0">
      <formula>$E$8&lt;10</formula>
    </cfRule>
  </conditionalFormatting>
  <conditionalFormatting sqref="G28:I28">
    <cfRule type="expression" priority="19" dxfId="0">
      <formula>$E$8&lt;9</formula>
    </cfRule>
  </conditionalFormatting>
  <conditionalFormatting sqref="G27:I27">
    <cfRule type="expression" priority="18" dxfId="0">
      <formula>$E$8&lt;8</formula>
    </cfRule>
  </conditionalFormatting>
  <conditionalFormatting sqref="G26:I26">
    <cfRule type="expression" priority="17" dxfId="0">
      <formula>$E$8&lt;7</formula>
    </cfRule>
  </conditionalFormatting>
  <conditionalFormatting sqref="G25:I25">
    <cfRule type="expression" priority="16" dxfId="0">
      <formula>$E$8&lt;6</formula>
    </cfRule>
  </conditionalFormatting>
  <conditionalFormatting sqref="G24:I24">
    <cfRule type="expression" priority="15" dxfId="0">
      <formula>$E$8&lt;5</formula>
    </cfRule>
  </conditionalFormatting>
  <conditionalFormatting sqref="G23:I23">
    <cfRule type="expression" priority="14" dxfId="0">
      <formula>$E$8&lt;4</formula>
    </cfRule>
  </conditionalFormatting>
  <conditionalFormatting sqref="G22:I22">
    <cfRule type="expression" priority="13" dxfId="0">
      <formula>$E$8&lt;3</formula>
    </cfRule>
  </conditionalFormatting>
  <conditionalFormatting sqref="G21:I21">
    <cfRule type="expression" priority="12" dxfId="0">
      <formula>$E$8&lt;2</formula>
    </cfRule>
  </conditionalFormatting>
  <conditionalFormatting sqref="G20:I20">
    <cfRule type="expression" priority="11" dxfId="0">
      <formula>$E$8&lt;1</formula>
    </cfRule>
  </conditionalFormatting>
  <conditionalFormatting sqref="G42:I42">
    <cfRule type="expression" priority="10" dxfId="0">
      <formula>$E$9&lt;10</formula>
    </cfRule>
  </conditionalFormatting>
  <conditionalFormatting sqref="G41:I41">
    <cfRule type="expression" priority="9" dxfId="0">
      <formula>$E$9&lt;9</formula>
    </cfRule>
  </conditionalFormatting>
  <conditionalFormatting sqref="G40:I40">
    <cfRule type="expression" priority="8" dxfId="0">
      <formula>$E$9&lt;8</formula>
    </cfRule>
  </conditionalFormatting>
  <conditionalFormatting sqref="G39:I39">
    <cfRule type="expression" priority="7" dxfId="0">
      <formula>$E$9&lt;7</formula>
    </cfRule>
  </conditionalFormatting>
  <conditionalFormatting sqref="G38:I38">
    <cfRule type="expression" priority="6" dxfId="0">
      <formula>$E$9&lt;6</formula>
    </cfRule>
  </conditionalFormatting>
  <conditionalFormatting sqref="G37:I37">
    <cfRule type="expression" priority="5" dxfId="0">
      <formula>$E$9&lt;5</formula>
    </cfRule>
  </conditionalFormatting>
  <conditionalFormatting sqref="G36:I36">
    <cfRule type="expression" priority="4" dxfId="0">
      <formula>$E$9&lt;4</formula>
    </cfRule>
  </conditionalFormatting>
  <conditionalFormatting sqref="G35:I35">
    <cfRule type="expression" priority="3" dxfId="0">
      <formula>$E$9&lt;3</formula>
    </cfRule>
  </conditionalFormatting>
  <conditionalFormatting sqref="G34:I34">
    <cfRule type="expression" priority="2" dxfId="0">
      <formula>$E$9&lt;2</formula>
    </cfRule>
  </conditionalFormatting>
  <conditionalFormatting sqref="G33:I33">
    <cfRule type="expression" priority="1" dxfId="0">
      <formula>$E$9&lt;1</formula>
    </cfRule>
  </conditionalFormatting>
  <dataValidations count="5">
    <dataValidation type="list" allowBlank="1" showInputMessage="1" showErrorMessage="1" sqref="E7">
      <formula1>"Marié(e) ou pacsé(e), Célibataire ou divorcé(e) , Veuf/Veuve"</formula1>
    </dataValidation>
    <dataValidation type="list" allowBlank="1" showInputMessage="1" showErrorMessage="1" sqref="E6">
      <formula1>"OUI,NON"</formula1>
    </dataValidation>
    <dataValidation type="list" allowBlank="1" showInputMessage="1" showErrorMessage="1" sqref="C20:C29 C33:C42">
      <formula1>"Oui,Non"</formula1>
    </dataValidation>
    <dataValidation type="whole" allowBlank="1" showInputMessage="1" showErrorMessage="1" sqref="E8:E9 F20:F21 F33">
      <formula1>0</formula1>
      <formula2>10</formula2>
    </dataValidation>
    <dataValidation type="list" allowBlank="1" showInputMessage="1" showErrorMessage="1" sqref="E5">
      <formula1>"Plus de 65 ans, Moins de 65 ans et non déclaré inapte au travail, Plus de 60 ans et déclaré inapte au travail"</formula1>
    </dataValidation>
  </dataValidations>
  <hyperlinks>
    <hyperlink ref="C11" location="Feuil3!A1" tooltip="1" display="Pour plus d'informations cliquez ici"/>
    <hyperlink ref="C11:D11" location="'réponse (1)'!A1" tooltip="La personne bénéficiant de l'ASH doit reverser 90 % de ses revenus (allocation logement comprise) pour financer les frais d’hébergement de l’établissement. Les 10 % restants sont laissés à sa disposition. Cette somme ne peut pas être inférieure à 120,10 €" display="Pour plus d'informations cliquez ici (1)"/>
    <hyperlink ref="C15:D15" location="'réponse (2)'!A1" tooltip="(2) S’il reste à domicile, le conjoint de la personne âgée qui va entrer en établissement est tenu de participer aux frais d’hébergement au titre de l’obligation alimentaire en fonction de ses ressources. " display="Pour plus d'informations, cliquez ici (2)"/>
    <hyperlink ref="B19" location="Feuil3!A1" display="Pour plus d'informations cliquez ici (3)"/>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workbookViewId="0" topLeftCell="A1">
      <selection activeCell="A7" sqref="A7"/>
    </sheetView>
  </sheetViews>
  <sheetFormatPr defaultColWidth="11.421875" defaultRowHeight="15"/>
  <cols>
    <col min="1" max="2" width="11.421875" style="2" customWidth="1"/>
    <col min="3" max="3" width="13.57421875" style="4" customWidth="1"/>
    <col min="4" max="4" width="13.421875" style="3" customWidth="1"/>
    <col min="7" max="8" width="11.421875" style="2" customWidth="1"/>
    <col min="9" max="9" width="13.57421875" style="4" customWidth="1"/>
    <col min="10" max="10" width="15.28125" style="2" customWidth="1"/>
  </cols>
  <sheetData>
    <row r="1" spans="1:10" ht="58">
      <c r="A1" s="108" t="s">
        <v>0</v>
      </c>
      <c r="B1" s="109"/>
      <c r="C1" s="13" t="s">
        <v>3</v>
      </c>
      <c r="D1" s="13" t="s">
        <v>1</v>
      </c>
      <c r="E1" s="14"/>
      <c r="F1" s="14"/>
      <c r="G1" s="108" t="s">
        <v>0</v>
      </c>
      <c r="H1" s="109"/>
      <c r="I1" s="13" t="s">
        <v>4</v>
      </c>
      <c r="J1" s="13" t="s">
        <v>2</v>
      </c>
    </row>
    <row r="2" spans="1:10" ht="15">
      <c r="A2" s="8">
        <v>0</v>
      </c>
      <c r="B2" s="8">
        <v>1378.9</v>
      </c>
      <c r="C2" s="8">
        <f aca="true" t="shared" si="0" ref="C2">(A2+B2)/2*D2</f>
        <v>0</v>
      </c>
      <c r="D2" s="8">
        <v>0</v>
      </c>
      <c r="G2" s="8">
        <v>0</v>
      </c>
      <c r="H2" s="8">
        <v>1378.9</v>
      </c>
      <c r="I2" s="8">
        <f aca="true" t="shared" si="1" ref="I2">(G2+H2)/2*J2</f>
        <v>0</v>
      </c>
      <c r="J2" s="8">
        <v>0</v>
      </c>
    </row>
    <row r="3" spans="1:10" ht="15">
      <c r="A3" s="9">
        <f>350*3.94</f>
        <v>1379</v>
      </c>
      <c r="B3" s="9">
        <f>A3+152.45</f>
        <v>1531.45</v>
      </c>
      <c r="C3" s="9">
        <f>(A3+B3)/2*D3</f>
        <v>72.76125</v>
      </c>
      <c r="D3" s="10">
        <v>0.05</v>
      </c>
      <c r="G3" s="9">
        <f>350*3.94</f>
        <v>1379</v>
      </c>
      <c r="H3" s="9">
        <f>G3+152.45</f>
        <v>1531.45</v>
      </c>
      <c r="I3" s="11">
        <f aca="true" t="shared" si="2" ref="I3:I34">(A3+B3)/2*J3</f>
        <v>36.380625</v>
      </c>
      <c r="J3" s="12">
        <f aca="true" t="shared" si="3" ref="J3:J34">D3/2</f>
        <v>0.025</v>
      </c>
    </row>
    <row r="4" spans="1:10" ht="15">
      <c r="A4" s="9">
        <f>B3+0.15</f>
        <v>1531.6000000000001</v>
      </c>
      <c r="B4" s="9">
        <f>A4+152.45</f>
        <v>1684.0500000000002</v>
      </c>
      <c r="C4" s="9">
        <f aca="true" t="shared" si="4" ref="C4:C65">(A4+B4)/2*D4</f>
        <v>88.43037500000001</v>
      </c>
      <c r="D4" s="10">
        <f>D3+0.005</f>
        <v>0.055</v>
      </c>
      <c r="G4" s="9">
        <f>H3+0.15</f>
        <v>1531.6000000000001</v>
      </c>
      <c r="H4" s="9">
        <f>G4+152.45</f>
        <v>1684.0500000000002</v>
      </c>
      <c r="I4" s="11">
        <f t="shared" si="2"/>
        <v>44.215187500000006</v>
      </c>
      <c r="J4" s="12">
        <f t="shared" si="3"/>
        <v>0.0275</v>
      </c>
    </row>
    <row r="5" spans="1:10" ht="15">
      <c r="A5" s="9">
        <f>B4+0.15</f>
        <v>1684.2000000000003</v>
      </c>
      <c r="B5" s="9">
        <f>A5+152.45</f>
        <v>1836.6500000000003</v>
      </c>
      <c r="C5" s="9">
        <f t="shared" si="4"/>
        <v>105.6255</v>
      </c>
      <c r="D5" s="10">
        <f aca="true" t="shared" si="5" ref="D5:D65">D4+0.005</f>
        <v>0.06</v>
      </c>
      <c r="G5" s="9">
        <f>H4+0.15</f>
        <v>1684.2000000000003</v>
      </c>
      <c r="H5" s="9">
        <f>G5+152.45</f>
        <v>1836.6500000000003</v>
      </c>
      <c r="I5" s="11">
        <f t="shared" si="2"/>
        <v>52.81275</v>
      </c>
      <c r="J5" s="12">
        <f t="shared" si="3"/>
        <v>0.03</v>
      </c>
    </row>
    <row r="6" spans="1:10" ht="15">
      <c r="A6" s="9">
        <f aca="true" t="shared" si="6" ref="A6:A65">B5+0.15</f>
        <v>1836.8000000000004</v>
      </c>
      <c r="B6" s="9">
        <f aca="true" t="shared" si="7" ref="B6:B65">A6+152.45</f>
        <v>1989.2500000000005</v>
      </c>
      <c r="C6" s="9">
        <f t="shared" si="4"/>
        <v>124.34662500000005</v>
      </c>
      <c r="D6" s="10">
        <f t="shared" si="5"/>
        <v>0.065</v>
      </c>
      <c r="G6" s="9">
        <f aca="true" t="shared" si="8" ref="G6:G65">H5+0.15</f>
        <v>1836.8000000000004</v>
      </c>
      <c r="H6" s="9">
        <f aca="true" t="shared" si="9" ref="H6:H65">G6+152.45</f>
        <v>1989.2500000000005</v>
      </c>
      <c r="I6" s="11">
        <f t="shared" si="2"/>
        <v>62.17331250000002</v>
      </c>
      <c r="J6" s="12">
        <f t="shared" si="3"/>
        <v>0.0325</v>
      </c>
    </row>
    <row r="7" spans="1:10" ht="15">
      <c r="A7" s="9">
        <f t="shared" si="6"/>
        <v>1989.4000000000005</v>
      </c>
      <c r="B7" s="9">
        <f t="shared" si="7"/>
        <v>2141.8500000000004</v>
      </c>
      <c r="C7" s="9">
        <f t="shared" si="4"/>
        <v>144.59375000000006</v>
      </c>
      <c r="D7" s="10">
        <f t="shared" si="5"/>
        <v>0.07</v>
      </c>
      <c r="G7" s="9">
        <f t="shared" si="8"/>
        <v>1989.4000000000005</v>
      </c>
      <c r="H7" s="9">
        <f t="shared" si="9"/>
        <v>2141.8500000000004</v>
      </c>
      <c r="I7" s="11">
        <f t="shared" si="2"/>
        <v>72.29687500000003</v>
      </c>
      <c r="J7" s="12">
        <f t="shared" si="3"/>
        <v>0.035</v>
      </c>
    </row>
    <row r="8" spans="1:10" ht="15">
      <c r="A8" s="9">
        <f t="shared" si="6"/>
        <v>2142.0000000000005</v>
      </c>
      <c r="B8" s="9">
        <f t="shared" si="7"/>
        <v>2294.4500000000003</v>
      </c>
      <c r="C8" s="9">
        <f t="shared" si="4"/>
        <v>166.36687500000005</v>
      </c>
      <c r="D8" s="10">
        <f t="shared" si="5"/>
        <v>0.07500000000000001</v>
      </c>
      <c r="G8" s="9">
        <f t="shared" si="8"/>
        <v>2142.0000000000005</v>
      </c>
      <c r="H8" s="9">
        <f t="shared" si="9"/>
        <v>2294.4500000000003</v>
      </c>
      <c r="I8" s="11">
        <f t="shared" si="2"/>
        <v>83.18343750000003</v>
      </c>
      <c r="J8" s="12">
        <f t="shared" si="3"/>
        <v>0.037500000000000006</v>
      </c>
    </row>
    <row r="9" spans="1:10" ht="15">
      <c r="A9" s="9">
        <f t="shared" si="6"/>
        <v>2294.6000000000004</v>
      </c>
      <c r="B9" s="9">
        <f t="shared" si="7"/>
        <v>2447.05</v>
      </c>
      <c r="C9" s="9">
        <f t="shared" si="4"/>
        <v>189.66600000000005</v>
      </c>
      <c r="D9" s="10">
        <f t="shared" si="5"/>
        <v>0.08000000000000002</v>
      </c>
      <c r="G9" s="9">
        <f t="shared" si="8"/>
        <v>2294.6000000000004</v>
      </c>
      <c r="H9" s="9">
        <f t="shared" si="9"/>
        <v>2447.05</v>
      </c>
      <c r="I9" s="11">
        <f t="shared" si="2"/>
        <v>94.83300000000003</v>
      </c>
      <c r="J9" s="12">
        <f t="shared" si="3"/>
        <v>0.04000000000000001</v>
      </c>
    </row>
    <row r="10" spans="1:10" ht="15">
      <c r="A10" s="9">
        <f t="shared" si="6"/>
        <v>2447.2000000000003</v>
      </c>
      <c r="B10" s="9">
        <f t="shared" si="7"/>
        <v>2599.65</v>
      </c>
      <c r="C10" s="9">
        <f t="shared" si="4"/>
        <v>214.49112500000007</v>
      </c>
      <c r="D10" s="10">
        <f t="shared" si="5"/>
        <v>0.08500000000000002</v>
      </c>
      <c r="G10" s="9">
        <f t="shared" si="8"/>
        <v>2447.2000000000003</v>
      </c>
      <c r="H10" s="9">
        <f t="shared" si="9"/>
        <v>2599.65</v>
      </c>
      <c r="I10" s="11">
        <f t="shared" si="2"/>
        <v>107.24556250000003</v>
      </c>
      <c r="J10" s="12">
        <f t="shared" si="3"/>
        <v>0.04250000000000001</v>
      </c>
    </row>
    <row r="11" spans="1:10" ht="15">
      <c r="A11" s="9">
        <f t="shared" si="6"/>
        <v>2599.8</v>
      </c>
      <c r="B11" s="9">
        <f t="shared" si="7"/>
        <v>2752.25</v>
      </c>
      <c r="C11" s="9">
        <f t="shared" si="4"/>
        <v>240.84225000000006</v>
      </c>
      <c r="D11" s="10">
        <f t="shared" si="5"/>
        <v>0.09000000000000002</v>
      </c>
      <c r="G11" s="9">
        <f t="shared" si="8"/>
        <v>2599.8</v>
      </c>
      <c r="H11" s="9">
        <f t="shared" si="9"/>
        <v>2752.25</v>
      </c>
      <c r="I11" s="11">
        <f t="shared" si="2"/>
        <v>120.42112500000003</v>
      </c>
      <c r="J11" s="12">
        <f t="shared" si="3"/>
        <v>0.04500000000000001</v>
      </c>
    </row>
    <row r="12" spans="1:10" ht="15">
      <c r="A12" s="9">
        <f t="shared" si="6"/>
        <v>2752.4</v>
      </c>
      <c r="B12" s="9">
        <f t="shared" si="7"/>
        <v>2904.85</v>
      </c>
      <c r="C12" s="9">
        <f t="shared" si="4"/>
        <v>268.71937500000007</v>
      </c>
      <c r="D12" s="10">
        <f t="shared" si="5"/>
        <v>0.09500000000000003</v>
      </c>
      <c r="G12" s="9">
        <f t="shared" si="8"/>
        <v>2752.4</v>
      </c>
      <c r="H12" s="9">
        <f t="shared" si="9"/>
        <v>2904.85</v>
      </c>
      <c r="I12" s="11">
        <f t="shared" si="2"/>
        <v>134.35968750000004</v>
      </c>
      <c r="J12" s="12">
        <f t="shared" si="3"/>
        <v>0.047500000000000014</v>
      </c>
    </row>
    <row r="13" spans="1:10" ht="15">
      <c r="A13" s="9">
        <f t="shared" si="6"/>
        <v>2905</v>
      </c>
      <c r="B13" s="9">
        <f t="shared" si="7"/>
        <v>3057.45</v>
      </c>
      <c r="C13" s="9">
        <f t="shared" si="4"/>
        <v>298.1225000000001</v>
      </c>
      <c r="D13" s="10">
        <f t="shared" si="5"/>
        <v>0.10000000000000003</v>
      </c>
      <c r="G13" s="9">
        <f t="shared" si="8"/>
        <v>2905</v>
      </c>
      <c r="H13" s="9">
        <f t="shared" si="9"/>
        <v>3057.45</v>
      </c>
      <c r="I13" s="11">
        <f t="shared" si="2"/>
        <v>149.06125000000006</v>
      </c>
      <c r="J13" s="12">
        <f t="shared" si="3"/>
        <v>0.05000000000000002</v>
      </c>
    </row>
    <row r="14" spans="1:10" ht="15">
      <c r="A14" s="9">
        <f t="shared" si="6"/>
        <v>3057.6</v>
      </c>
      <c r="B14" s="9">
        <f t="shared" si="7"/>
        <v>3210.0499999999997</v>
      </c>
      <c r="C14" s="9">
        <f t="shared" si="4"/>
        <v>329.0516250000001</v>
      </c>
      <c r="D14" s="10">
        <f t="shared" si="5"/>
        <v>0.10500000000000004</v>
      </c>
      <c r="G14" s="9">
        <f t="shared" si="8"/>
        <v>3057.6</v>
      </c>
      <c r="H14" s="9">
        <f t="shared" si="9"/>
        <v>3210.0499999999997</v>
      </c>
      <c r="I14" s="11">
        <f t="shared" si="2"/>
        <v>164.52581250000006</v>
      </c>
      <c r="J14" s="12">
        <f t="shared" si="3"/>
        <v>0.05250000000000002</v>
      </c>
    </row>
    <row r="15" spans="1:10" ht="15">
      <c r="A15" s="9">
        <f t="shared" si="6"/>
        <v>3210.2</v>
      </c>
      <c r="B15" s="9">
        <f t="shared" si="7"/>
        <v>3362.6499999999996</v>
      </c>
      <c r="C15" s="9">
        <f t="shared" si="4"/>
        <v>361.5067500000001</v>
      </c>
      <c r="D15" s="10">
        <f t="shared" si="5"/>
        <v>0.11000000000000004</v>
      </c>
      <c r="G15" s="9">
        <f t="shared" si="8"/>
        <v>3210.2</v>
      </c>
      <c r="H15" s="9">
        <f t="shared" si="9"/>
        <v>3362.6499999999996</v>
      </c>
      <c r="I15" s="11">
        <f t="shared" si="2"/>
        <v>180.75337500000006</v>
      </c>
      <c r="J15" s="12">
        <f t="shared" si="3"/>
        <v>0.05500000000000002</v>
      </c>
    </row>
    <row r="16" spans="1:10" ht="15">
      <c r="A16" s="9">
        <f t="shared" si="6"/>
        <v>3362.7999999999997</v>
      </c>
      <c r="B16" s="9">
        <f t="shared" si="7"/>
        <v>3515.2499999999995</v>
      </c>
      <c r="C16" s="9">
        <f t="shared" si="4"/>
        <v>395.48787500000014</v>
      </c>
      <c r="D16" s="10">
        <f t="shared" si="5"/>
        <v>0.11500000000000005</v>
      </c>
      <c r="G16" s="9">
        <f t="shared" si="8"/>
        <v>3362.7999999999997</v>
      </c>
      <c r="H16" s="9">
        <f t="shared" si="9"/>
        <v>3515.2499999999995</v>
      </c>
      <c r="I16" s="11">
        <f t="shared" si="2"/>
        <v>197.74393750000007</v>
      </c>
      <c r="J16" s="12">
        <f t="shared" si="3"/>
        <v>0.05750000000000002</v>
      </c>
    </row>
    <row r="17" spans="1:10" ht="15">
      <c r="A17" s="9">
        <f t="shared" si="6"/>
        <v>3515.3999999999996</v>
      </c>
      <c r="B17" s="9">
        <f t="shared" si="7"/>
        <v>3667.8499999999995</v>
      </c>
      <c r="C17" s="9">
        <f t="shared" si="4"/>
        <v>430.9950000000001</v>
      </c>
      <c r="D17" s="10">
        <f t="shared" si="5"/>
        <v>0.12000000000000005</v>
      </c>
      <c r="G17" s="9">
        <f t="shared" si="8"/>
        <v>3515.3999999999996</v>
      </c>
      <c r="H17" s="9">
        <f t="shared" si="9"/>
        <v>3667.8499999999995</v>
      </c>
      <c r="I17" s="11">
        <f t="shared" si="2"/>
        <v>215.49750000000006</v>
      </c>
      <c r="J17" s="12">
        <f t="shared" si="3"/>
        <v>0.060000000000000026</v>
      </c>
    </row>
    <row r="18" spans="1:10" ht="15">
      <c r="A18" s="9">
        <f t="shared" si="6"/>
        <v>3667.9999999999995</v>
      </c>
      <c r="B18" s="9">
        <f t="shared" si="7"/>
        <v>3820.4499999999994</v>
      </c>
      <c r="C18" s="9">
        <f t="shared" si="4"/>
        <v>468.02812500000016</v>
      </c>
      <c r="D18" s="10">
        <f t="shared" si="5"/>
        <v>0.12500000000000006</v>
      </c>
      <c r="G18" s="9">
        <f t="shared" si="8"/>
        <v>3667.9999999999995</v>
      </c>
      <c r="H18" s="9">
        <f t="shared" si="9"/>
        <v>3820.4499999999994</v>
      </c>
      <c r="I18" s="11">
        <f t="shared" si="2"/>
        <v>234.01406250000008</v>
      </c>
      <c r="J18" s="12">
        <f t="shared" si="3"/>
        <v>0.06250000000000003</v>
      </c>
    </row>
    <row r="19" spans="1:10" ht="15">
      <c r="A19" s="9">
        <f t="shared" si="6"/>
        <v>3820.5999999999995</v>
      </c>
      <c r="B19" s="9">
        <f t="shared" si="7"/>
        <v>3973.0499999999993</v>
      </c>
      <c r="C19" s="9">
        <f t="shared" si="4"/>
        <v>506.58725000000015</v>
      </c>
      <c r="D19" s="10">
        <f t="shared" si="5"/>
        <v>0.13000000000000006</v>
      </c>
      <c r="G19" s="9">
        <f t="shared" si="8"/>
        <v>3820.5999999999995</v>
      </c>
      <c r="H19" s="9">
        <f t="shared" si="9"/>
        <v>3973.0499999999993</v>
      </c>
      <c r="I19" s="11">
        <f t="shared" si="2"/>
        <v>253.29362500000008</v>
      </c>
      <c r="J19" s="12">
        <f t="shared" si="3"/>
        <v>0.06500000000000003</v>
      </c>
    </row>
    <row r="20" spans="1:10" ht="15">
      <c r="A20" s="9">
        <f t="shared" si="6"/>
        <v>3973.1999999999994</v>
      </c>
      <c r="B20" s="9">
        <f t="shared" si="7"/>
        <v>4125.65</v>
      </c>
      <c r="C20" s="9">
        <f t="shared" si="4"/>
        <v>546.6723750000002</v>
      </c>
      <c r="D20" s="10">
        <f t="shared" si="5"/>
        <v>0.13500000000000006</v>
      </c>
      <c r="G20" s="9">
        <f t="shared" si="8"/>
        <v>3973.1999999999994</v>
      </c>
      <c r="H20" s="9">
        <f t="shared" si="9"/>
        <v>4125.65</v>
      </c>
      <c r="I20" s="11">
        <f t="shared" si="2"/>
        <v>273.3361875000001</v>
      </c>
      <c r="J20" s="12">
        <f t="shared" si="3"/>
        <v>0.06750000000000003</v>
      </c>
    </row>
    <row r="21" spans="1:10" ht="15">
      <c r="A21" s="9">
        <f t="shared" si="6"/>
        <v>4125.799999999999</v>
      </c>
      <c r="B21" s="9">
        <f t="shared" si="7"/>
        <v>4278.249999999999</v>
      </c>
      <c r="C21" s="9">
        <f t="shared" si="4"/>
        <v>588.2835000000002</v>
      </c>
      <c r="D21" s="10">
        <f t="shared" si="5"/>
        <v>0.14000000000000007</v>
      </c>
      <c r="G21" s="9">
        <f t="shared" si="8"/>
        <v>4125.799999999999</v>
      </c>
      <c r="H21" s="9">
        <f t="shared" si="9"/>
        <v>4278.249999999999</v>
      </c>
      <c r="I21" s="11">
        <f t="shared" si="2"/>
        <v>294.1417500000001</v>
      </c>
      <c r="J21" s="12">
        <f t="shared" si="3"/>
        <v>0.07000000000000003</v>
      </c>
    </row>
    <row r="22" spans="1:10" ht="15">
      <c r="A22" s="9">
        <f t="shared" si="6"/>
        <v>4278.399999999999</v>
      </c>
      <c r="B22" s="9">
        <f t="shared" si="7"/>
        <v>4430.8499999999985</v>
      </c>
      <c r="C22" s="9">
        <f t="shared" si="4"/>
        <v>631.4206250000001</v>
      </c>
      <c r="D22" s="10">
        <f t="shared" si="5"/>
        <v>0.14500000000000007</v>
      </c>
      <c r="G22" s="9">
        <f t="shared" si="8"/>
        <v>4278.399999999999</v>
      </c>
      <c r="H22" s="9">
        <f t="shared" si="9"/>
        <v>4430.8499999999985</v>
      </c>
      <c r="I22" s="11">
        <f t="shared" si="2"/>
        <v>315.71031250000004</v>
      </c>
      <c r="J22" s="12">
        <f t="shared" si="3"/>
        <v>0.07250000000000004</v>
      </c>
    </row>
    <row r="23" spans="1:10" ht="15">
      <c r="A23" s="9">
        <f t="shared" si="6"/>
        <v>4430.999999999998</v>
      </c>
      <c r="B23" s="9">
        <f t="shared" si="7"/>
        <v>4583.449999999998</v>
      </c>
      <c r="C23" s="9">
        <f t="shared" si="4"/>
        <v>676.0837500000001</v>
      </c>
      <c r="D23" s="10">
        <f t="shared" si="5"/>
        <v>0.15000000000000008</v>
      </c>
      <c r="G23" s="9">
        <f t="shared" si="8"/>
        <v>4430.999999999998</v>
      </c>
      <c r="H23" s="9">
        <f t="shared" si="9"/>
        <v>4583.449999999998</v>
      </c>
      <c r="I23" s="11">
        <f t="shared" si="2"/>
        <v>338.04187500000006</v>
      </c>
      <c r="J23" s="12">
        <f t="shared" si="3"/>
        <v>0.07500000000000004</v>
      </c>
    </row>
    <row r="24" spans="1:10" ht="15">
      <c r="A24" s="9">
        <f t="shared" si="6"/>
        <v>4583.599999999998</v>
      </c>
      <c r="B24" s="9">
        <f t="shared" si="7"/>
        <v>4736.049999999997</v>
      </c>
      <c r="C24" s="9">
        <f t="shared" si="4"/>
        <v>722.2728749999999</v>
      </c>
      <c r="D24" s="10">
        <f t="shared" si="5"/>
        <v>0.15500000000000008</v>
      </c>
      <c r="G24" s="9">
        <f t="shared" si="8"/>
        <v>4583.599999999998</v>
      </c>
      <c r="H24" s="9">
        <f t="shared" si="9"/>
        <v>4736.049999999997</v>
      </c>
      <c r="I24" s="11">
        <f t="shared" si="2"/>
        <v>361.13643749999994</v>
      </c>
      <c r="J24" s="12">
        <f t="shared" si="3"/>
        <v>0.07750000000000004</v>
      </c>
    </row>
    <row r="25" spans="1:10" ht="15">
      <c r="A25" s="9">
        <f t="shared" si="6"/>
        <v>4736.199999999997</v>
      </c>
      <c r="B25" s="9">
        <f t="shared" si="7"/>
        <v>4888.649999999997</v>
      </c>
      <c r="C25" s="9">
        <f t="shared" si="4"/>
        <v>769.988</v>
      </c>
      <c r="D25" s="10">
        <f t="shared" si="5"/>
        <v>0.1600000000000001</v>
      </c>
      <c r="G25" s="9">
        <f t="shared" si="8"/>
        <v>4736.199999999997</v>
      </c>
      <c r="H25" s="9">
        <f t="shared" si="9"/>
        <v>4888.649999999997</v>
      </c>
      <c r="I25" s="11">
        <f t="shared" si="2"/>
        <v>384.994</v>
      </c>
      <c r="J25" s="12">
        <f t="shared" si="3"/>
        <v>0.08000000000000004</v>
      </c>
    </row>
    <row r="26" spans="1:10" ht="15">
      <c r="A26" s="9">
        <f t="shared" si="6"/>
        <v>4888.7999999999965</v>
      </c>
      <c r="B26" s="9">
        <f t="shared" si="7"/>
        <v>5041.249999999996</v>
      </c>
      <c r="C26" s="9">
        <f t="shared" si="4"/>
        <v>819.2291249999998</v>
      </c>
      <c r="D26" s="10">
        <f t="shared" si="5"/>
        <v>0.1650000000000001</v>
      </c>
      <c r="G26" s="9">
        <f t="shared" si="8"/>
        <v>4888.7999999999965</v>
      </c>
      <c r="H26" s="9">
        <f t="shared" si="9"/>
        <v>5041.249999999996</v>
      </c>
      <c r="I26" s="11">
        <f t="shared" si="2"/>
        <v>409.6145624999999</v>
      </c>
      <c r="J26" s="12">
        <f t="shared" si="3"/>
        <v>0.08250000000000005</v>
      </c>
    </row>
    <row r="27" spans="1:10" ht="15">
      <c r="A27" s="9">
        <f t="shared" si="6"/>
        <v>5041.399999999996</v>
      </c>
      <c r="B27" s="9">
        <f t="shared" si="7"/>
        <v>5193.849999999996</v>
      </c>
      <c r="C27" s="9">
        <f t="shared" si="4"/>
        <v>869.9962499999999</v>
      </c>
      <c r="D27" s="10">
        <f t="shared" si="5"/>
        <v>0.1700000000000001</v>
      </c>
      <c r="G27" s="9">
        <f t="shared" si="8"/>
        <v>5041.399999999996</v>
      </c>
      <c r="H27" s="9">
        <f t="shared" si="9"/>
        <v>5193.849999999996</v>
      </c>
      <c r="I27" s="11">
        <f t="shared" si="2"/>
        <v>434.99812499999996</v>
      </c>
      <c r="J27" s="12">
        <f t="shared" si="3"/>
        <v>0.08500000000000005</v>
      </c>
    </row>
    <row r="28" spans="1:10" ht="15">
      <c r="A28" s="9">
        <f t="shared" si="6"/>
        <v>5193.999999999995</v>
      </c>
      <c r="B28" s="9">
        <f t="shared" si="7"/>
        <v>5346.449999999995</v>
      </c>
      <c r="C28" s="9">
        <f t="shared" si="4"/>
        <v>922.2893749999996</v>
      </c>
      <c r="D28" s="10">
        <f t="shared" si="5"/>
        <v>0.1750000000000001</v>
      </c>
      <c r="G28" s="9">
        <f t="shared" si="8"/>
        <v>5193.999999999995</v>
      </c>
      <c r="H28" s="9">
        <f t="shared" si="9"/>
        <v>5346.449999999995</v>
      </c>
      <c r="I28" s="11">
        <f t="shared" si="2"/>
        <v>461.1446874999998</v>
      </c>
      <c r="J28" s="12">
        <f t="shared" si="3"/>
        <v>0.08750000000000005</v>
      </c>
    </row>
    <row r="29" spans="1:10" ht="15">
      <c r="A29" s="9">
        <f t="shared" si="6"/>
        <v>5346.599999999995</v>
      </c>
      <c r="B29" s="9">
        <f t="shared" si="7"/>
        <v>5499.049999999995</v>
      </c>
      <c r="C29" s="9">
        <f t="shared" si="4"/>
        <v>976.1084999999997</v>
      </c>
      <c r="D29" s="10">
        <f t="shared" si="5"/>
        <v>0.1800000000000001</v>
      </c>
      <c r="G29" s="9">
        <f t="shared" si="8"/>
        <v>5346.599999999995</v>
      </c>
      <c r="H29" s="9">
        <f t="shared" si="9"/>
        <v>5499.049999999995</v>
      </c>
      <c r="I29" s="11">
        <f t="shared" si="2"/>
        <v>488.05424999999985</v>
      </c>
      <c r="J29" s="12">
        <f t="shared" si="3"/>
        <v>0.09000000000000005</v>
      </c>
    </row>
    <row r="30" spans="1:10" ht="15">
      <c r="A30" s="9">
        <f t="shared" si="6"/>
        <v>5499.199999999994</v>
      </c>
      <c r="B30" s="9">
        <f t="shared" si="7"/>
        <v>5651.649999999994</v>
      </c>
      <c r="C30" s="9">
        <f t="shared" si="4"/>
        <v>1031.4536249999994</v>
      </c>
      <c r="D30" s="10">
        <f t="shared" si="5"/>
        <v>0.1850000000000001</v>
      </c>
      <c r="G30" s="9">
        <f t="shared" si="8"/>
        <v>5499.199999999994</v>
      </c>
      <c r="H30" s="9">
        <f t="shared" si="9"/>
        <v>5651.649999999994</v>
      </c>
      <c r="I30" s="11">
        <f t="shared" si="2"/>
        <v>515.7268124999997</v>
      </c>
      <c r="J30" s="12">
        <f t="shared" si="3"/>
        <v>0.09250000000000005</v>
      </c>
    </row>
    <row r="31" spans="1:10" ht="15">
      <c r="A31" s="9">
        <f t="shared" si="6"/>
        <v>5651.799999999994</v>
      </c>
      <c r="B31" s="9">
        <f t="shared" si="7"/>
        <v>5804.249999999994</v>
      </c>
      <c r="C31" s="9">
        <f t="shared" si="4"/>
        <v>1088.3247499999995</v>
      </c>
      <c r="D31" s="10">
        <f t="shared" si="5"/>
        <v>0.1900000000000001</v>
      </c>
      <c r="G31" s="9">
        <f t="shared" si="8"/>
        <v>5651.799999999994</v>
      </c>
      <c r="H31" s="9">
        <f t="shared" si="9"/>
        <v>5804.249999999994</v>
      </c>
      <c r="I31" s="11">
        <f t="shared" si="2"/>
        <v>544.1623749999998</v>
      </c>
      <c r="J31" s="12">
        <f t="shared" si="3"/>
        <v>0.09500000000000006</v>
      </c>
    </row>
    <row r="32" spans="1:10" ht="15">
      <c r="A32" s="9">
        <f t="shared" si="6"/>
        <v>5804.399999999993</v>
      </c>
      <c r="B32" s="9">
        <f t="shared" si="7"/>
        <v>5956.849999999993</v>
      </c>
      <c r="C32" s="9">
        <f t="shared" si="4"/>
        <v>1146.7218749999993</v>
      </c>
      <c r="D32" s="10">
        <f t="shared" si="5"/>
        <v>0.19500000000000012</v>
      </c>
      <c r="G32" s="9">
        <f t="shared" si="8"/>
        <v>5804.399999999993</v>
      </c>
      <c r="H32" s="9">
        <f t="shared" si="9"/>
        <v>5956.849999999993</v>
      </c>
      <c r="I32" s="11">
        <f t="shared" si="2"/>
        <v>573.3609374999996</v>
      </c>
      <c r="J32" s="12">
        <f t="shared" si="3"/>
        <v>0.09750000000000006</v>
      </c>
    </row>
    <row r="33" spans="1:10" ht="15">
      <c r="A33" s="9">
        <f t="shared" si="6"/>
        <v>5956.999999999993</v>
      </c>
      <c r="B33" s="9">
        <f t="shared" si="7"/>
        <v>6109.4499999999925</v>
      </c>
      <c r="C33" s="9">
        <f t="shared" si="4"/>
        <v>1206.6449999999993</v>
      </c>
      <c r="D33" s="10">
        <f t="shared" si="5"/>
        <v>0.20000000000000012</v>
      </c>
      <c r="G33" s="9">
        <f t="shared" si="8"/>
        <v>5956.999999999993</v>
      </c>
      <c r="H33" s="9">
        <f t="shared" si="9"/>
        <v>6109.4499999999925</v>
      </c>
      <c r="I33" s="11">
        <f t="shared" si="2"/>
        <v>603.3224999999996</v>
      </c>
      <c r="J33" s="12">
        <f t="shared" si="3"/>
        <v>0.10000000000000006</v>
      </c>
    </row>
    <row r="34" spans="1:10" ht="15">
      <c r="A34" s="9">
        <f t="shared" si="6"/>
        <v>6109.599999999992</v>
      </c>
      <c r="B34" s="9">
        <f t="shared" si="7"/>
        <v>6262.049999999992</v>
      </c>
      <c r="C34" s="9">
        <f t="shared" si="4"/>
        <v>1268.0941249999992</v>
      </c>
      <c r="D34" s="10">
        <f t="shared" si="5"/>
        <v>0.20500000000000013</v>
      </c>
      <c r="G34" s="9">
        <f t="shared" si="8"/>
        <v>6109.599999999992</v>
      </c>
      <c r="H34" s="9">
        <f t="shared" si="9"/>
        <v>6262.049999999992</v>
      </c>
      <c r="I34" s="11">
        <f t="shared" si="2"/>
        <v>634.0470624999996</v>
      </c>
      <c r="J34" s="12">
        <f t="shared" si="3"/>
        <v>0.10250000000000006</v>
      </c>
    </row>
    <row r="35" spans="1:10" ht="15">
      <c r="A35" s="9">
        <f t="shared" si="6"/>
        <v>6262.199999999992</v>
      </c>
      <c r="B35" s="9">
        <f t="shared" si="7"/>
        <v>6414.649999999991</v>
      </c>
      <c r="C35" s="9">
        <f t="shared" si="4"/>
        <v>1331.069249999999</v>
      </c>
      <c r="D35" s="10">
        <f t="shared" si="5"/>
        <v>0.21000000000000013</v>
      </c>
      <c r="G35" s="9">
        <f t="shared" si="8"/>
        <v>6262.199999999992</v>
      </c>
      <c r="H35" s="9">
        <f t="shared" si="9"/>
        <v>6414.649999999991</v>
      </c>
      <c r="I35" s="11">
        <f aca="true" t="shared" si="10" ref="I35:I65">(A35+B35)/2*J35</f>
        <v>665.5346249999996</v>
      </c>
      <c r="J35" s="12">
        <f aca="true" t="shared" si="11" ref="J35:J65">D35/2</f>
        <v>0.10500000000000007</v>
      </c>
    </row>
    <row r="36" spans="1:10" ht="15">
      <c r="A36" s="9">
        <f t="shared" si="6"/>
        <v>6414.799999999991</v>
      </c>
      <c r="B36" s="9">
        <f t="shared" si="7"/>
        <v>6567.249999999991</v>
      </c>
      <c r="C36" s="9">
        <f t="shared" si="4"/>
        <v>1395.5703749999989</v>
      </c>
      <c r="D36" s="10">
        <f t="shared" si="5"/>
        <v>0.21500000000000014</v>
      </c>
      <c r="G36" s="9">
        <f t="shared" si="8"/>
        <v>6414.799999999991</v>
      </c>
      <c r="H36" s="9">
        <f t="shared" si="9"/>
        <v>6567.249999999991</v>
      </c>
      <c r="I36" s="11">
        <f t="shared" si="10"/>
        <v>697.7851874999994</v>
      </c>
      <c r="J36" s="12">
        <f t="shared" si="11"/>
        <v>0.10750000000000007</v>
      </c>
    </row>
    <row r="37" spans="1:10" ht="15">
      <c r="A37" s="9">
        <f t="shared" si="6"/>
        <v>6567.3999999999905</v>
      </c>
      <c r="B37" s="9">
        <f t="shared" si="7"/>
        <v>6719.84999999999</v>
      </c>
      <c r="C37" s="9">
        <f t="shared" si="4"/>
        <v>1461.597499999999</v>
      </c>
      <c r="D37" s="10">
        <f t="shared" si="5"/>
        <v>0.22000000000000014</v>
      </c>
      <c r="G37" s="9">
        <f t="shared" si="8"/>
        <v>6567.3999999999905</v>
      </c>
      <c r="H37" s="9">
        <f t="shared" si="9"/>
        <v>6719.84999999999</v>
      </c>
      <c r="I37" s="11">
        <f t="shared" si="10"/>
        <v>730.7987499999995</v>
      </c>
      <c r="J37" s="12">
        <f t="shared" si="11"/>
        <v>0.11000000000000007</v>
      </c>
    </row>
    <row r="38" spans="1:10" ht="15">
      <c r="A38" s="9">
        <f t="shared" si="6"/>
        <v>6719.99999999999</v>
      </c>
      <c r="B38" s="9">
        <f t="shared" si="7"/>
        <v>6872.44999999999</v>
      </c>
      <c r="C38" s="9">
        <f t="shared" si="4"/>
        <v>1529.1506249999986</v>
      </c>
      <c r="D38" s="10">
        <f t="shared" si="5"/>
        <v>0.22500000000000014</v>
      </c>
      <c r="G38" s="9">
        <f t="shared" si="8"/>
        <v>6719.99999999999</v>
      </c>
      <c r="H38" s="9">
        <f t="shared" si="9"/>
        <v>6872.44999999999</v>
      </c>
      <c r="I38" s="11">
        <f t="shared" si="10"/>
        <v>764.5753124999993</v>
      </c>
      <c r="J38" s="12">
        <f t="shared" si="11"/>
        <v>0.11250000000000007</v>
      </c>
    </row>
    <row r="39" spans="1:10" ht="15">
      <c r="A39" s="9">
        <f t="shared" si="6"/>
        <v>6872.599999999989</v>
      </c>
      <c r="B39" s="9">
        <f t="shared" si="7"/>
        <v>7025.049999999989</v>
      </c>
      <c r="C39" s="9">
        <f t="shared" si="4"/>
        <v>1598.2297499999986</v>
      </c>
      <c r="D39" s="10">
        <f t="shared" si="5"/>
        <v>0.23000000000000015</v>
      </c>
      <c r="G39" s="9">
        <f t="shared" si="8"/>
        <v>6872.599999999989</v>
      </c>
      <c r="H39" s="9">
        <f t="shared" si="9"/>
        <v>7025.049999999989</v>
      </c>
      <c r="I39" s="11">
        <f t="shared" si="10"/>
        <v>799.1148749999993</v>
      </c>
      <c r="J39" s="12">
        <f t="shared" si="11"/>
        <v>0.11500000000000007</v>
      </c>
    </row>
    <row r="40" spans="1:10" ht="15">
      <c r="A40" s="9">
        <f t="shared" si="6"/>
        <v>7025.199999999989</v>
      </c>
      <c r="B40" s="9">
        <f t="shared" si="7"/>
        <v>7177.649999999989</v>
      </c>
      <c r="C40" s="9">
        <f t="shared" si="4"/>
        <v>1668.8348749999984</v>
      </c>
      <c r="D40" s="10">
        <f t="shared" si="5"/>
        <v>0.23500000000000015</v>
      </c>
      <c r="G40" s="9">
        <f t="shared" si="8"/>
        <v>7025.199999999989</v>
      </c>
      <c r="H40" s="9">
        <f t="shared" si="9"/>
        <v>7177.649999999989</v>
      </c>
      <c r="I40" s="11">
        <f t="shared" si="10"/>
        <v>834.4174374999992</v>
      </c>
      <c r="J40" s="12">
        <f t="shared" si="11"/>
        <v>0.11750000000000008</v>
      </c>
    </row>
    <row r="41" spans="1:10" ht="15">
      <c r="A41" s="9">
        <f t="shared" si="6"/>
        <v>7177.799999999988</v>
      </c>
      <c r="B41" s="9">
        <f t="shared" si="7"/>
        <v>7330.249999999988</v>
      </c>
      <c r="C41" s="9">
        <f t="shared" si="4"/>
        <v>1740.9659999999985</v>
      </c>
      <c r="D41" s="10">
        <f t="shared" si="5"/>
        <v>0.24000000000000016</v>
      </c>
      <c r="G41" s="9">
        <f t="shared" si="8"/>
        <v>7177.799999999988</v>
      </c>
      <c r="H41" s="9">
        <f t="shared" si="9"/>
        <v>7330.249999999988</v>
      </c>
      <c r="I41" s="11">
        <f t="shared" si="10"/>
        <v>870.4829999999993</v>
      </c>
      <c r="J41" s="12">
        <f t="shared" si="11"/>
        <v>0.12000000000000008</v>
      </c>
    </row>
    <row r="42" spans="1:10" ht="15">
      <c r="A42" s="9">
        <f t="shared" si="6"/>
        <v>7330.399999999988</v>
      </c>
      <c r="B42" s="9">
        <f t="shared" si="7"/>
        <v>7482.849999999988</v>
      </c>
      <c r="C42" s="9">
        <f t="shared" si="4"/>
        <v>1814.623124999998</v>
      </c>
      <c r="D42" s="10">
        <f t="shared" si="5"/>
        <v>0.24500000000000016</v>
      </c>
      <c r="G42" s="9">
        <f t="shared" si="8"/>
        <v>7330.399999999988</v>
      </c>
      <c r="H42" s="9">
        <f t="shared" si="9"/>
        <v>7482.849999999988</v>
      </c>
      <c r="I42" s="11">
        <f t="shared" si="10"/>
        <v>907.311562499999</v>
      </c>
      <c r="J42" s="12">
        <f t="shared" si="11"/>
        <v>0.12250000000000008</v>
      </c>
    </row>
    <row r="43" spans="1:10" ht="15">
      <c r="A43" s="9">
        <f t="shared" si="6"/>
        <v>7482.999999999987</v>
      </c>
      <c r="B43" s="9">
        <f t="shared" si="7"/>
        <v>7635.449999999987</v>
      </c>
      <c r="C43" s="9">
        <f t="shared" si="4"/>
        <v>1889.8062499999983</v>
      </c>
      <c r="D43" s="10">
        <f t="shared" si="5"/>
        <v>0.25000000000000017</v>
      </c>
      <c r="G43" s="9">
        <f t="shared" si="8"/>
        <v>7482.999999999987</v>
      </c>
      <c r="H43" s="9">
        <f t="shared" si="9"/>
        <v>7635.449999999987</v>
      </c>
      <c r="I43" s="11">
        <f t="shared" si="10"/>
        <v>944.9031249999991</v>
      </c>
      <c r="J43" s="12">
        <f t="shared" si="11"/>
        <v>0.12500000000000008</v>
      </c>
    </row>
    <row r="44" spans="1:10" ht="15">
      <c r="A44" s="9">
        <f t="shared" si="6"/>
        <v>7635.599999999987</v>
      </c>
      <c r="B44" s="9">
        <f t="shared" si="7"/>
        <v>7788.0499999999865</v>
      </c>
      <c r="C44" s="9">
        <f t="shared" si="4"/>
        <v>1966.515374999998</v>
      </c>
      <c r="D44" s="10">
        <f t="shared" si="5"/>
        <v>0.25500000000000017</v>
      </c>
      <c r="G44" s="9">
        <f t="shared" si="8"/>
        <v>7635.599999999987</v>
      </c>
      <c r="H44" s="9">
        <f t="shared" si="9"/>
        <v>7788.0499999999865</v>
      </c>
      <c r="I44" s="11">
        <f t="shared" si="10"/>
        <v>983.257687499999</v>
      </c>
      <c r="J44" s="12">
        <f t="shared" si="11"/>
        <v>0.12750000000000009</v>
      </c>
    </row>
    <row r="45" spans="1:10" ht="15">
      <c r="A45" s="9">
        <f t="shared" si="6"/>
        <v>7788.199999999986</v>
      </c>
      <c r="B45" s="9">
        <f t="shared" si="7"/>
        <v>7940.649999999986</v>
      </c>
      <c r="C45" s="9">
        <f t="shared" si="4"/>
        <v>2044.7504999999978</v>
      </c>
      <c r="D45" s="10">
        <f t="shared" si="5"/>
        <v>0.2600000000000002</v>
      </c>
      <c r="G45" s="9">
        <f t="shared" si="8"/>
        <v>7788.199999999986</v>
      </c>
      <c r="H45" s="9">
        <f t="shared" si="9"/>
        <v>7940.649999999986</v>
      </c>
      <c r="I45" s="11">
        <f t="shared" si="10"/>
        <v>1022.3752499999989</v>
      </c>
      <c r="J45" s="12">
        <f t="shared" si="11"/>
        <v>0.1300000000000001</v>
      </c>
    </row>
    <row r="46" spans="1:10" ht="15">
      <c r="A46" s="9">
        <f t="shared" si="6"/>
        <v>7940.799999999986</v>
      </c>
      <c r="B46" s="9">
        <f t="shared" si="7"/>
        <v>8093.249999999985</v>
      </c>
      <c r="C46" s="9">
        <f t="shared" si="4"/>
        <v>2124.5116249999974</v>
      </c>
      <c r="D46" s="10">
        <f t="shared" si="5"/>
        <v>0.2650000000000002</v>
      </c>
      <c r="G46" s="9">
        <f t="shared" si="8"/>
        <v>7940.799999999986</v>
      </c>
      <c r="H46" s="9">
        <f t="shared" si="9"/>
        <v>8093.249999999985</v>
      </c>
      <c r="I46" s="11">
        <f t="shared" si="10"/>
        <v>1062.2558124999987</v>
      </c>
      <c r="J46" s="12">
        <f t="shared" si="11"/>
        <v>0.1325000000000001</v>
      </c>
    </row>
    <row r="47" spans="1:10" ht="15">
      <c r="A47" s="9">
        <f t="shared" si="6"/>
        <v>8093.399999999985</v>
      </c>
      <c r="B47" s="9">
        <f t="shared" si="7"/>
        <v>8245.849999999986</v>
      </c>
      <c r="C47" s="9">
        <f t="shared" si="4"/>
        <v>2205.7987499999977</v>
      </c>
      <c r="D47" s="10">
        <f t="shared" si="5"/>
        <v>0.2700000000000002</v>
      </c>
      <c r="G47" s="9">
        <f t="shared" si="8"/>
        <v>8093.399999999985</v>
      </c>
      <c r="H47" s="9">
        <f t="shared" si="9"/>
        <v>8245.849999999986</v>
      </c>
      <c r="I47" s="11">
        <f t="shared" si="10"/>
        <v>1102.8993749999988</v>
      </c>
      <c r="J47" s="12">
        <f t="shared" si="11"/>
        <v>0.1350000000000001</v>
      </c>
    </row>
    <row r="48" spans="1:10" ht="15">
      <c r="A48" s="9">
        <f t="shared" si="6"/>
        <v>8245.999999999985</v>
      </c>
      <c r="B48" s="9">
        <f t="shared" si="7"/>
        <v>8398.449999999986</v>
      </c>
      <c r="C48" s="9">
        <f t="shared" si="4"/>
        <v>2288.611874999998</v>
      </c>
      <c r="D48" s="10">
        <f t="shared" si="5"/>
        <v>0.2750000000000002</v>
      </c>
      <c r="G48" s="9">
        <f t="shared" si="8"/>
        <v>8245.999999999985</v>
      </c>
      <c r="H48" s="9">
        <f t="shared" si="9"/>
        <v>8398.449999999986</v>
      </c>
      <c r="I48" s="11">
        <f t="shared" si="10"/>
        <v>1144.305937499999</v>
      </c>
      <c r="J48" s="12">
        <f t="shared" si="11"/>
        <v>0.1375000000000001</v>
      </c>
    </row>
    <row r="49" spans="1:10" ht="15">
      <c r="A49" s="9">
        <f t="shared" si="6"/>
        <v>8398.599999999986</v>
      </c>
      <c r="B49" s="9">
        <f t="shared" si="7"/>
        <v>8551.049999999987</v>
      </c>
      <c r="C49" s="9">
        <f t="shared" si="4"/>
        <v>2372.9509999999977</v>
      </c>
      <c r="D49" s="10">
        <f t="shared" si="5"/>
        <v>0.2800000000000002</v>
      </c>
      <c r="G49" s="9">
        <f t="shared" si="8"/>
        <v>8398.599999999986</v>
      </c>
      <c r="H49" s="9">
        <f t="shared" si="9"/>
        <v>8551.049999999987</v>
      </c>
      <c r="I49" s="11">
        <f t="shared" si="10"/>
        <v>1186.4754999999989</v>
      </c>
      <c r="J49" s="12">
        <f t="shared" si="11"/>
        <v>0.1400000000000001</v>
      </c>
    </row>
    <row r="50" spans="1:10" ht="15">
      <c r="A50" s="9">
        <f t="shared" si="6"/>
        <v>8551.199999999986</v>
      </c>
      <c r="B50" s="9">
        <f t="shared" si="7"/>
        <v>8703.649999999987</v>
      </c>
      <c r="C50" s="9">
        <f t="shared" si="4"/>
        <v>2458.816124999998</v>
      </c>
      <c r="D50" s="10">
        <f t="shared" si="5"/>
        <v>0.2850000000000002</v>
      </c>
      <c r="G50" s="9">
        <f t="shared" si="8"/>
        <v>8551.199999999986</v>
      </c>
      <c r="H50" s="9">
        <f t="shared" si="9"/>
        <v>8703.649999999987</v>
      </c>
      <c r="I50" s="11">
        <f t="shared" si="10"/>
        <v>1229.408062499999</v>
      </c>
      <c r="J50" s="12">
        <f t="shared" si="11"/>
        <v>0.1425000000000001</v>
      </c>
    </row>
    <row r="51" spans="1:10" ht="15">
      <c r="A51" s="9">
        <f t="shared" si="6"/>
        <v>8703.799999999987</v>
      </c>
      <c r="B51" s="9">
        <f t="shared" si="7"/>
        <v>8856.249999999987</v>
      </c>
      <c r="C51" s="9">
        <f t="shared" si="4"/>
        <v>2546.207249999998</v>
      </c>
      <c r="D51" s="10">
        <f t="shared" si="5"/>
        <v>0.2900000000000002</v>
      </c>
      <c r="G51" s="9">
        <f t="shared" si="8"/>
        <v>8703.799999999987</v>
      </c>
      <c r="H51" s="9">
        <f t="shared" si="9"/>
        <v>8856.249999999987</v>
      </c>
      <c r="I51" s="11">
        <f t="shared" si="10"/>
        <v>1273.103624999999</v>
      </c>
      <c r="J51" s="12">
        <f t="shared" si="11"/>
        <v>0.1450000000000001</v>
      </c>
    </row>
    <row r="52" spans="1:10" ht="15">
      <c r="A52" s="9">
        <f t="shared" si="6"/>
        <v>8856.399999999987</v>
      </c>
      <c r="B52" s="9">
        <f t="shared" si="7"/>
        <v>9008.849999999988</v>
      </c>
      <c r="C52" s="9">
        <f t="shared" si="4"/>
        <v>2635.124374999998</v>
      </c>
      <c r="D52" s="10">
        <f t="shared" si="5"/>
        <v>0.2950000000000002</v>
      </c>
      <c r="G52" s="9">
        <f t="shared" si="8"/>
        <v>8856.399999999987</v>
      </c>
      <c r="H52" s="9">
        <f t="shared" si="9"/>
        <v>9008.849999999988</v>
      </c>
      <c r="I52" s="11">
        <f t="shared" si="10"/>
        <v>1317.562187499999</v>
      </c>
      <c r="J52" s="12">
        <f t="shared" si="11"/>
        <v>0.1475000000000001</v>
      </c>
    </row>
    <row r="53" spans="1:10" ht="15">
      <c r="A53" s="9">
        <f t="shared" si="6"/>
        <v>9008.999999999987</v>
      </c>
      <c r="B53" s="9">
        <f t="shared" si="7"/>
        <v>9161.449999999988</v>
      </c>
      <c r="C53" s="9">
        <f t="shared" si="4"/>
        <v>2725.5674999999983</v>
      </c>
      <c r="D53" s="10">
        <f t="shared" si="5"/>
        <v>0.3000000000000002</v>
      </c>
      <c r="G53" s="9">
        <f t="shared" si="8"/>
        <v>9008.999999999987</v>
      </c>
      <c r="H53" s="9">
        <f t="shared" si="9"/>
        <v>9161.449999999988</v>
      </c>
      <c r="I53" s="11">
        <f t="shared" si="10"/>
        <v>1362.7837499999991</v>
      </c>
      <c r="J53" s="12">
        <f t="shared" si="11"/>
        <v>0.1500000000000001</v>
      </c>
    </row>
    <row r="54" spans="1:10" ht="15">
      <c r="A54" s="9">
        <f t="shared" si="6"/>
        <v>9161.599999999988</v>
      </c>
      <c r="B54" s="9">
        <f t="shared" si="7"/>
        <v>9314.049999999988</v>
      </c>
      <c r="C54" s="9">
        <f t="shared" si="4"/>
        <v>2817.5366249999984</v>
      </c>
      <c r="D54" s="10">
        <f t="shared" si="5"/>
        <v>0.3050000000000002</v>
      </c>
      <c r="G54" s="9">
        <f t="shared" si="8"/>
        <v>9161.599999999988</v>
      </c>
      <c r="H54" s="9">
        <f t="shared" si="9"/>
        <v>9314.049999999988</v>
      </c>
      <c r="I54" s="11">
        <f t="shared" si="10"/>
        <v>1408.7683124999992</v>
      </c>
      <c r="J54" s="12">
        <f t="shared" si="11"/>
        <v>0.1525000000000001</v>
      </c>
    </row>
    <row r="55" spans="1:10" ht="15">
      <c r="A55" s="9">
        <f t="shared" si="6"/>
        <v>9314.199999999988</v>
      </c>
      <c r="B55" s="9">
        <f t="shared" si="7"/>
        <v>9466.649999999989</v>
      </c>
      <c r="C55" s="9">
        <f t="shared" si="4"/>
        <v>2911.0317499999983</v>
      </c>
      <c r="D55" s="10">
        <f t="shared" si="5"/>
        <v>0.3100000000000002</v>
      </c>
      <c r="G55" s="9">
        <f t="shared" si="8"/>
        <v>9314.199999999988</v>
      </c>
      <c r="H55" s="9">
        <f t="shared" si="9"/>
        <v>9466.649999999989</v>
      </c>
      <c r="I55" s="11">
        <f t="shared" si="10"/>
        <v>1455.5158749999991</v>
      </c>
      <c r="J55" s="12">
        <f t="shared" si="11"/>
        <v>0.1550000000000001</v>
      </c>
    </row>
    <row r="56" spans="1:10" ht="15">
      <c r="A56" s="9">
        <f t="shared" si="6"/>
        <v>9466.799999999988</v>
      </c>
      <c r="B56" s="9">
        <f t="shared" si="7"/>
        <v>9619.249999999989</v>
      </c>
      <c r="C56" s="9">
        <f t="shared" si="4"/>
        <v>3006.0528749999985</v>
      </c>
      <c r="D56" s="10">
        <f t="shared" si="5"/>
        <v>0.3150000000000002</v>
      </c>
      <c r="G56" s="9">
        <f t="shared" si="8"/>
        <v>9466.799999999988</v>
      </c>
      <c r="H56" s="9">
        <f t="shared" si="9"/>
        <v>9619.249999999989</v>
      </c>
      <c r="I56" s="11">
        <f t="shared" si="10"/>
        <v>1503.0264374999992</v>
      </c>
      <c r="J56" s="12">
        <f t="shared" si="11"/>
        <v>0.1575000000000001</v>
      </c>
    </row>
    <row r="57" spans="1:10" ht="15">
      <c r="A57" s="9">
        <f t="shared" si="6"/>
        <v>9619.399999999989</v>
      </c>
      <c r="B57" s="9">
        <f t="shared" si="7"/>
        <v>9771.84999999999</v>
      </c>
      <c r="C57" s="9">
        <f t="shared" si="4"/>
        <v>3102.5999999999985</v>
      </c>
      <c r="D57" s="10">
        <f t="shared" si="5"/>
        <v>0.32000000000000023</v>
      </c>
      <c r="G57" s="9">
        <f t="shared" si="8"/>
        <v>9619.399999999989</v>
      </c>
      <c r="H57" s="9">
        <f t="shared" si="9"/>
        <v>9771.84999999999</v>
      </c>
      <c r="I57" s="11">
        <f t="shared" si="10"/>
        <v>1551.2999999999993</v>
      </c>
      <c r="J57" s="12">
        <f t="shared" si="11"/>
        <v>0.16000000000000011</v>
      </c>
    </row>
    <row r="58" spans="1:10" ht="15">
      <c r="A58" s="9">
        <f t="shared" si="6"/>
        <v>9771.999999999989</v>
      </c>
      <c r="B58" s="9">
        <f t="shared" si="7"/>
        <v>9924.44999999999</v>
      </c>
      <c r="C58" s="9">
        <f t="shared" si="4"/>
        <v>3200.673124999999</v>
      </c>
      <c r="D58" s="10">
        <f t="shared" si="5"/>
        <v>0.32500000000000023</v>
      </c>
      <c r="G58" s="9">
        <f t="shared" si="8"/>
        <v>9771.999999999989</v>
      </c>
      <c r="H58" s="9">
        <f t="shared" si="9"/>
        <v>9924.44999999999</v>
      </c>
      <c r="I58" s="11">
        <f t="shared" si="10"/>
        <v>1600.3365624999994</v>
      </c>
      <c r="J58" s="12">
        <f t="shared" si="11"/>
        <v>0.16250000000000012</v>
      </c>
    </row>
    <row r="59" spans="1:10" ht="15">
      <c r="A59" s="9">
        <f t="shared" si="6"/>
        <v>9924.59999999999</v>
      </c>
      <c r="B59" s="9">
        <f t="shared" si="7"/>
        <v>10077.04999999999</v>
      </c>
      <c r="C59" s="9">
        <f t="shared" si="4"/>
        <v>3300.272249999999</v>
      </c>
      <c r="D59" s="10">
        <f t="shared" si="5"/>
        <v>0.33000000000000024</v>
      </c>
      <c r="G59" s="9">
        <f t="shared" si="8"/>
        <v>9924.59999999999</v>
      </c>
      <c r="H59" s="9">
        <f t="shared" si="9"/>
        <v>10077.04999999999</v>
      </c>
      <c r="I59" s="11">
        <f t="shared" si="10"/>
        <v>1650.1361249999995</v>
      </c>
      <c r="J59" s="12">
        <f t="shared" si="11"/>
        <v>0.16500000000000012</v>
      </c>
    </row>
    <row r="60" spans="1:10" ht="15">
      <c r="A60" s="9">
        <f t="shared" si="6"/>
        <v>10077.19999999999</v>
      </c>
      <c r="B60" s="9">
        <f t="shared" si="7"/>
        <v>10229.64999999999</v>
      </c>
      <c r="C60" s="9">
        <f t="shared" si="4"/>
        <v>3401.397374999999</v>
      </c>
      <c r="D60" s="10">
        <f t="shared" si="5"/>
        <v>0.33500000000000024</v>
      </c>
      <c r="G60" s="9">
        <f t="shared" si="8"/>
        <v>10077.19999999999</v>
      </c>
      <c r="H60" s="9">
        <f t="shared" si="9"/>
        <v>10229.64999999999</v>
      </c>
      <c r="I60" s="11">
        <f t="shared" si="10"/>
        <v>1700.6986874999996</v>
      </c>
      <c r="J60" s="12">
        <f t="shared" si="11"/>
        <v>0.16750000000000012</v>
      </c>
    </row>
    <row r="61" spans="1:10" ht="15">
      <c r="A61" s="9">
        <f t="shared" si="6"/>
        <v>10229.79999999999</v>
      </c>
      <c r="B61" s="9">
        <f t="shared" si="7"/>
        <v>10382.24999999999</v>
      </c>
      <c r="C61" s="9">
        <f t="shared" si="4"/>
        <v>3504.0484999999994</v>
      </c>
      <c r="D61" s="10">
        <f t="shared" si="5"/>
        <v>0.34000000000000025</v>
      </c>
      <c r="G61" s="9">
        <f t="shared" si="8"/>
        <v>10229.79999999999</v>
      </c>
      <c r="H61" s="9">
        <f t="shared" si="9"/>
        <v>10382.24999999999</v>
      </c>
      <c r="I61" s="11">
        <f t="shared" si="10"/>
        <v>1752.0242499999997</v>
      </c>
      <c r="J61" s="12">
        <f t="shared" si="11"/>
        <v>0.17000000000000012</v>
      </c>
    </row>
    <row r="62" spans="1:10" ht="15">
      <c r="A62" s="9">
        <f t="shared" si="6"/>
        <v>10382.39999999999</v>
      </c>
      <c r="B62" s="9">
        <f t="shared" si="7"/>
        <v>10534.849999999991</v>
      </c>
      <c r="C62" s="9">
        <f t="shared" si="4"/>
        <v>3608.2256249999996</v>
      </c>
      <c r="D62" s="10">
        <f t="shared" si="5"/>
        <v>0.34500000000000025</v>
      </c>
      <c r="G62" s="9">
        <f t="shared" si="8"/>
        <v>10382.39999999999</v>
      </c>
      <c r="H62" s="9">
        <f t="shared" si="9"/>
        <v>10534.849999999991</v>
      </c>
      <c r="I62" s="11">
        <f t="shared" si="10"/>
        <v>1804.1128124999998</v>
      </c>
      <c r="J62" s="12">
        <f t="shared" si="11"/>
        <v>0.17250000000000013</v>
      </c>
    </row>
    <row r="63" spans="1:10" ht="15">
      <c r="A63" s="9">
        <f t="shared" si="6"/>
        <v>10534.99999999999</v>
      </c>
      <c r="B63" s="9">
        <f t="shared" si="7"/>
        <v>10687.449999999992</v>
      </c>
      <c r="C63" s="9">
        <f t="shared" si="4"/>
        <v>3713.9287499999996</v>
      </c>
      <c r="D63" s="10">
        <f t="shared" si="5"/>
        <v>0.35000000000000026</v>
      </c>
      <c r="G63" s="9">
        <f t="shared" si="8"/>
        <v>10534.99999999999</v>
      </c>
      <c r="H63" s="9">
        <f t="shared" si="9"/>
        <v>10687.449999999992</v>
      </c>
      <c r="I63" s="11">
        <f t="shared" si="10"/>
        <v>1856.9643749999998</v>
      </c>
      <c r="J63" s="12">
        <f t="shared" si="11"/>
        <v>0.17500000000000013</v>
      </c>
    </row>
    <row r="64" spans="1:10" ht="15">
      <c r="A64" s="9">
        <f t="shared" si="6"/>
        <v>10687.599999999991</v>
      </c>
      <c r="B64" s="9">
        <f t="shared" si="7"/>
        <v>10840.049999999992</v>
      </c>
      <c r="C64" s="9">
        <f t="shared" si="4"/>
        <v>3821.157875</v>
      </c>
      <c r="D64" s="10">
        <f t="shared" si="5"/>
        <v>0.35500000000000026</v>
      </c>
      <c r="G64" s="9">
        <f t="shared" si="8"/>
        <v>10687.599999999991</v>
      </c>
      <c r="H64" s="9">
        <f t="shared" si="9"/>
        <v>10840.049999999992</v>
      </c>
      <c r="I64" s="11">
        <f t="shared" si="10"/>
        <v>1910.5789375</v>
      </c>
      <c r="J64" s="12">
        <f t="shared" si="11"/>
        <v>0.17750000000000013</v>
      </c>
    </row>
    <row r="65" spans="1:10" ht="15">
      <c r="A65" s="9">
        <f t="shared" si="6"/>
        <v>10840.199999999992</v>
      </c>
      <c r="B65" s="9">
        <f t="shared" si="7"/>
        <v>10992.649999999992</v>
      </c>
      <c r="C65" s="9">
        <f t="shared" si="4"/>
        <v>3929.913</v>
      </c>
      <c r="D65" s="10">
        <f t="shared" si="5"/>
        <v>0.36000000000000026</v>
      </c>
      <c r="G65" s="9">
        <f t="shared" si="8"/>
        <v>10840.199999999992</v>
      </c>
      <c r="H65" s="9">
        <f t="shared" si="9"/>
        <v>10992.649999999992</v>
      </c>
      <c r="I65" s="11">
        <f t="shared" si="10"/>
        <v>1964.9565</v>
      </c>
      <c r="J65" s="12">
        <f t="shared" si="11"/>
        <v>0.18000000000000013</v>
      </c>
    </row>
    <row r="66" spans="1:9" ht="15">
      <c r="A66" s="1"/>
      <c r="B66" s="1"/>
      <c r="C66" s="1"/>
      <c r="G66" s="1"/>
      <c r="H66" s="1"/>
      <c r="I66" s="1"/>
    </row>
    <row r="67" spans="1:9" ht="15">
      <c r="A67" s="1"/>
      <c r="B67" s="1"/>
      <c r="C67" s="1"/>
      <c r="G67" s="1"/>
      <c r="H67" s="1"/>
      <c r="I67" s="1"/>
    </row>
  </sheetData>
  <sheetProtection algorithmName="SHA-512" hashValue="pH5Z5gsisnsG89i7C/m2wmmQooYmJFlAbF/ke9vpEaIYri1H9MwtvZS4eAXmM4xSqwxO8BQK2VA6x/zSD6Nq5A==" saltValue="oNmN6FvOLkiba8yjew62yA==" spinCount="100000" sheet="1" objects="1" scenarios="1"/>
  <mergeCells count="2">
    <mergeCell ref="A1:B1"/>
    <mergeCell ref="G1:H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11.421875" defaultRowHeight="15"/>
  <cols>
    <col min="1" max="1" width="178.28125" style="0" customWidth="1"/>
  </cols>
  <sheetData>
    <row r="1" ht="52.5" customHeight="1">
      <c r="A1" s="6" t="s">
        <v>22</v>
      </c>
    </row>
    <row r="2" ht="15">
      <c r="A2" s="7"/>
    </row>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A20" sqref="A20"/>
    </sheetView>
  </sheetViews>
  <sheetFormatPr defaultColWidth="11.421875" defaultRowHeight="15"/>
  <cols>
    <col min="1" max="1" width="178.28125" style="0" customWidth="1"/>
  </cols>
  <sheetData>
    <row r="1" ht="49.5" customHeight="1">
      <c r="A1" s="6" t="s">
        <v>19</v>
      </c>
    </row>
    <row r="2" ht="15">
      <c r="A2" s="7"/>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A28" sqref="A28"/>
    </sheetView>
  </sheetViews>
  <sheetFormatPr defaultColWidth="11.421875" defaultRowHeight="15"/>
  <cols>
    <col min="1" max="1" width="178.28125" style="0" customWidth="1"/>
  </cols>
  <sheetData>
    <row r="1" ht="42" customHeight="1">
      <c r="A1" s="6" t="s">
        <v>21</v>
      </c>
    </row>
    <row r="2" ht="15">
      <c r="A2" s="7"/>
    </row>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11.421875" defaultRowHeight="15"/>
  <cols>
    <col min="1" max="1" width="178.28125" style="0" customWidth="1"/>
  </cols>
  <sheetData>
    <row r="1" ht="39.75" customHeight="1">
      <c r="A1" s="6" t="s">
        <v>18</v>
      </c>
    </row>
    <row r="2" ht="15">
      <c r="A2" s="7"/>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Marie de Paris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Bridier, Chloe</dc:creator>
  <cp:keywords/>
  <dc:description/>
  <cp:lastModifiedBy>Durka, Fanny</cp:lastModifiedBy>
  <cp:lastPrinted>2023-03-15T16:28:33Z</cp:lastPrinted>
  <dcterms:created xsi:type="dcterms:W3CDTF">2019-01-14T09:18:00Z</dcterms:created>
  <dcterms:modified xsi:type="dcterms:W3CDTF">2023-03-17T13:54:13Z</dcterms:modified>
  <cp:category/>
  <cp:version/>
  <cp:contentType/>
  <cp:contentStatus/>
</cp:coreProperties>
</file>