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/Users/annelauretulet/Downloads/"/>
    </mc:Choice>
  </mc:AlternateContent>
  <xr:revisionPtr revIDLastSave="0" documentId="8_{D0C00E8F-3A5F-7D45-B645-429D07889EFC}" xr6:coauthVersionLast="47" xr6:coauthVersionMax="47" xr10:uidLastSave="{00000000-0000-0000-0000-000000000000}"/>
  <bookViews>
    <workbookView xWindow="0" yWindow="740" windowWidth="28800" windowHeight="16460" tabRatio="609" activeTab="1" xr2:uid="{260ED3DA-8798-450A-B702-B03F540E85DF}"/>
  </bookViews>
  <sheets>
    <sheet name="Pluies courantes" sheetId="1" r:id="rId1"/>
    <sheet name="Pluie décennale" sheetId="3" r:id="rId2"/>
  </sheets>
  <definedNames>
    <definedName name="_xlnm._FilterDatabase" localSheetId="1" hidden="1">'Pluie décennale'!#REF!</definedName>
    <definedName name="_xlnm._FilterDatabase" localSheetId="0" hidden="1">'Pluies courantes'!#REF!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0" i="3" l="1"/>
  <c r="E98" i="3"/>
  <c r="E87" i="3"/>
  <c r="O81" i="3" l="1"/>
  <c r="O41" i="3" l="1"/>
  <c r="O42" i="3"/>
  <c r="K97" i="3" s="1"/>
  <c r="L97" i="3" s="1"/>
  <c r="O43" i="3"/>
  <c r="P43" i="3" s="1"/>
  <c r="O44" i="3"/>
  <c r="P44" i="3" s="1"/>
  <c r="O45" i="3"/>
  <c r="P45" i="3" s="1"/>
  <c r="O46" i="3"/>
  <c r="P46" i="3" s="1"/>
  <c r="O47" i="3"/>
  <c r="P47" i="3" s="1"/>
  <c r="O48" i="3"/>
  <c r="P48" i="3" s="1"/>
  <c r="O49" i="3"/>
  <c r="O40" i="3"/>
  <c r="H71" i="3" s="1"/>
  <c r="J139" i="1"/>
  <c r="J140" i="1"/>
  <c r="J141" i="1"/>
  <c r="J142" i="1"/>
  <c r="J143" i="1"/>
  <c r="J144" i="1"/>
  <c r="J145" i="1"/>
  <c r="J146" i="1"/>
  <c r="J147" i="1"/>
  <c r="J138" i="1"/>
  <c r="I139" i="1"/>
  <c r="I140" i="1"/>
  <c r="I141" i="1"/>
  <c r="I142" i="1"/>
  <c r="I143" i="1"/>
  <c r="I144" i="1"/>
  <c r="I145" i="1"/>
  <c r="I146" i="1"/>
  <c r="I147" i="1"/>
  <c r="I138" i="1"/>
  <c r="E138" i="1"/>
  <c r="H72" i="3" l="1"/>
  <c r="Q49" i="3"/>
  <c r="H80" i="3"/>
  <c r="I80" i="3"/>
  <c r="G80" i="3"/>
  <c r="J80" i="3"/>
  <c r="K80" i="3" s="1"/>
  <c r="H73" i="3"/>
  <c r="H77" i="3"/>
  <c r="G79" i="3"/>
  <c r="I79" i="3"/>
  <c r="J79" i="3"/>
  <c r="K79" i="3" s="1"/>
  <c r="H79" i="3"/>
  <c r="H78" i="3"/>
  <c r="H76" i="3"/>
  <c r="P42" i="3"/>
  <c r="K112" i="3" s="1"/>
  <c r="H74" i="3"/>
  <c r="H75" i="3"/>
  <c r="P41" i="3"/>
  <c r="P40" i="3"/>
  <c r="Q45" i="3"/>
  <c r="Q46" i="3"/>
  <c r="Q48" i="3"/>
  <c r="Q47" i="3"/>
  <c r="J148" i="1"/>
  <c r="E108" i="1" s="1"/>
  <c r="I148" i="1"/>
  <c r="O40" i="1"/>
  <c r="P41" i="1"/>
  <c r="P42" i="1"/>
  <c r="P43" i="1"/>
  <c r="P44" i="1"/>
  <c r="P45" i="1"/>
  <c r="P46" i="1"/>
  <c r="P47" i="1"/>
  <c r="P48" i="1"/>
  <c r="P49" i="1"/>
  <c r="P40" i="1"/>
  <c r="O41" i="1"/>
  <c r="O42" i="1"/>
  <c r="O43" i="1"/>
  <c r="O44" i="1"/>
  <c r="O45" i="1"/>
  <c r="O46" i="1"/>
  <c r="O47" i="1"/>
  <c r="O48" i="1"/>
  <c r="O49" i="1"/>
  <c r="H139" i="1"/>
  <c r="H140" i="1"/>
  <c r="H141" i="1"/>
  <c r="H142" i="1"/>
  <c r="H143" i="1"/>
  <c r="H144" i="1"/>
  <c r="H145" i="1"/>
  <c r="H146" i="1"/>
  <c r="H147" i="1"/>
  <c r="H138" i="1"/>
  <c r="G139" i="1"/>
  <c r="G140" i="1"/>
  <c r="G141" i="1"/>
  <c r="G142" i="1"/>
  <c r="G143" i="1"/>
  <c r="G144" i="1"/>
  <c r="G145" i="1"/>
  <c r="G146" i="1"/>
  <c r="G147" i="1"/>
  <c r="G138" i="1"/>
  <c r="G148" i="1" l="1"/>
  <c r="H148" i="1"/>
  <c r="Q43" i="1"/>
  <c r="D80" i="1"/>
  <c r="D79" i="1"/>
  <c r="Q42" i="1"/>
  <c r="D78" i="1"/>
  <c r="Q48" i="1"/>
  <c r="D77" i="1"/>
  <c r="Q47" i="1"/>
  <c r="D76" i="1"/>
  <c r="Q49" i="1"/>
  <c r="Q46" i="1"/>
  <c r="D75" i="1"/>
  <c r="Q45" i="1"/>
  <c r="D74" i="1"/>
  <c r="Q44" i="1"/>
  <c r="D73" i="1"/>
  <c r="D71" i="1"/>
  <c r="D72" i="1"/>
  <c r="Q41" i="1"/>
  <c r="Q40" i="1"/>
  <c r="P50" i="1"/>
  <c r="O50" i="1"/>
  <c r="E104" i="1"/>
  <c r="E72" i="3"/>
  <c r="G72" i="3" s="1"/>
  <c r="I72" i="3" s="1"/>
  <c r="J72" i="3" s="1"/>
  <c r="K72" i="3" s="1"/>
  <c r="E73" i="3"/>
  <c r="G73" i="3" s="1"/>
  <c r="I73" i="3" s="1"/>
  <c r="J73" i="3" s="1"/>
  <c r="K73" i="3" s="1"/>
  <c r="E74" i="3"/>
  <c r="G74" i="3" s="1"/>
  <c r="I74" i="3" s="1"/>
  <c r="J74" i="3" s="1"/>
  <c r="K74" i="3" s="1"/>
  <c r="E75" i="3"/>
  <c r="G75" i="3" s="1"/>
  <c r="I75" i="3" s="1"/>
  <c r="J75" i="3" s="1"/>
  <c r="K75" i="3" s="1"/>
  <c r="E76" i="3"/>
  <c r="G76" i="3" s="1"/>
  <c r="I76" i="3" s="1"/>
  <c r="J76" i="3" s="1"/>
  <c r="K76" i="3" s="1"/>
  <c r="E77" i="3"/>
  <c r="G77" i="3" s="1"/>
  <c r="I77" i="3" s="1"/>
  <c r="J77" i="3" s="1"/>
  <c r="K77" i="3" s="1"/>
  <c r="E78" i="3"/>
  <c r="G78" i="3" s="1"/>
  <c r="I78" i="3" s="1"/>
  <c r="J78" i="3" s="1"/>
  <c r="K78" i="3" s="1"/>
  <c r="E79" i="3"/>
  <c r="E80" i="3"/>
  <c r="E71" i="3"/>
  <c r="G71" i="3" s="1"/>
  <c r="I71" i="3" s="1"/>
  <c r="J71" i="3" s="1"/>
  <c r="B80" i="3"/>
  <c r="B79" i="3"/>
  <c r="B78" i="3"/>
  <c r="B77" i="3"/>
  <c r="B76" i="3"/>
  <c r="B75" i="3"/>
  <c r="B74" i="3"/>
  <c r="B73" i="3"/>
  <c r="B72" i="3"/>
  <c r="B71" i="3"/>
  <c r="N50" i="3"/>
  <c r="M50" i="3"/>
  <c r="E95" i="3" s="1"/>
  <c r="L50" i="3"/>
  <c r="E94" i="3" s="1"/>
  <c r="K50" i="3"/>
  <c r="J50" i="3"/>
  <c r="I50" i="3"/>
  <c r="H50" i="3"/>
  <c r="G50" i="3"/>
  <c r="E91" i="3" s="1"/>
  <c r="F49" i="3"/>
  <c r="P49" i="3" s="1"/>
  <c r="E97" i="1"/>
  <c r="L97" i="1" s="1"/>
  <c r="J69" i="3" l="1"/>
  <c r="C83" i="3"/>
  <c r="K71" i="3"/>
  <c r="E96" i="3"/>
  <c r="E102" i="3" s="1"/>
  <c r="E92" i="3"/>
  <c r="Q43" i="3"/>
  <c r="Q41" i="3"/>
  <c r="Q42" i="3"/>
  <c r="Q44" i="3"/>
  <c r="L75" i="3"/>
  <c r="Q40" i="3"/>
  <c r="L74" i="3"/>
  <c r="L80" i="3"/>
  <c r="L76" i="3"/>
  <c r="L78" i="3"/>
  <c r="L77" i="3"/>
  <c r="E81" i="3"/>
  <c r="F50" i="3"/>
  <c r="O50" i="3"/>
  <c r="C71" i="1"/>
  <c r="N74" i="1"/>
  <c r="M141" i="1" s="1"/>
  <c r="N75" i="1"/>
  <c r="M142" i="1" s="1"/>
  <c r="N76" i="1"/>
  <c r="M143" i="1" s="1"/>
  <c r="N77" i="1"/>
  <c r="M144" i="1" s="1"/>
  <c r="G80" i="1"/>
  <c r="Q76" i="3" l="1"/>
  <c r="P76" i="3"/>
  <c r="P80" i="3"/>
  <c r="Q80" i="3"/>
  <c r="P78" i="3"/>
  <c r="Q78" i="3"/>
  <c r="P74" i="3"/>
  <c r="Q74" i="3"/>
  <c r="P75" i="3"/>
  <c r="Q75" i="3"/>
  <c r="P77" i="3"/>
  <c r="Q77" i="3"/>
  <c r="E103" i="3"/>
  <c r="L79" i="3"/>
  <c r="L72" i="3"/>
  <c r="N80" i="3"/>
  <c r="M80" i="3"/>
  <c r="D147" i="1"/>
  <c r="I80" i="1" s="1"/>
  <c r="N73" i="1"/>
  <c r="M140" i="1" s="1"/>
  <c r="N79" i="1"/>
  <c r="M146" i="1" s="1"/>
  <c r="N78" i="1"/>
  <c r="M145" i="1" s="1"/>
  <c r="N72" i="1"/>
  <c r="M139" i="1" s="1"/>
  <c r="N71" i="1"/>
  <c r="M138" i="1" s="1"/>
  <c r="M75" i="3"/>
  <c r="N75" i="3"/>
  <c r="M76" i="3"/>
  <c r="N76" i="3"/>
  <c r="M74" i="3"/>
  <c r="N74" i="3"/>
  <c r="M77" i="3"/>
  <c r="N77" i="3"/>
  <c r="M78" i="3"/>
  <c r="N78" i="3"/>
  <c r="H81" i="3"/>
  <c r="G81" i="3"/>
  <c r="P50" i="3"/>
  <c r="Q50" i="3" s="1"/>
  <c r="F139" i="1"/>
  <c r="F140" i="1"/>
  <c r="F141" i="1"/>
  <c r="F142" i="1"/>
  <c r="F143" i="1"/>
  <c r="F144" i="1"/>
  <c r="F145" i="1"/>
  <c r="F146" i="1"/>
  <c r="F147" i="1"/>
  <c r="F138" i="1"/>
  <c r="K138" i="1" s="1"/>
  <c r="E139" i="1"/>
  <c r="E140" i="1"/>
  <c r="E141" i="1"/>
  <c r="E142" i="1"/>
  <c r="E143" i="1"/>
  <c r="E144" i="1"/>
  <c r="E145" i="1"/>
  <c r="E146" i="1"/>
  <c r="E147" i="1"/>
  <c r="K98" i="3" l="1"/>
  <c r="L98" i="3" s="1"/>
  <c r="K113" i="3"/>
  <c r="P79" i="3"/>
  <c r="Q79" i="3"/>
  <c r="E105" i="3"/>
  <c r="Q72" i="3"/>
  <c r="P72" i="3"/>
  <c r="N72" i="3"/>
  <c r="M79" i="3"/>
  <c r="M72" i="3"/>
  <c r="N79" i="3"/>
  <c r="L73" i="3"/>
  <c r="K142" i="1"/>
  <c r="K147" i="1"/>
  <c r="K145" i="1"/>
  <c r="K146" i="1"/>
  <c r="K141" i="1"/>
  <c r="K140" i="1"/>
  <c r="K143" i="1"/>
  <c r="K144" i="1"/>
  <c r="K139" i="1"/>
  <c r="I81" i="3"/>
  <c r="L71" i="3"/>
  <c r="F148" i="1"/>
  <c r="E102" i="1" s="1"/>
  <c r="E148" i="1"/>
  <c r="E101" i="1" s="1"/>
  <c r="P73" i="3" l="1"/>
  <c r="Q73" i="3"/>
  <c r="P71" i="3"/>
  <c r="Q71" i="3"/>
  <c r="K106" i="3" s="1"/>
  <c r="N73" i="3"/>
  <c r="M73" i="3"/>
  <c r="E105" i="1"/>
  <c r="M71" i="3"/>
  <c r="N71" i="3"/>
  <c r="C79" i="1"/>
  <c r="C78" i="1"/>
  <c r="C77" i="1"/>
  <c r="C76" i="1"/>
  <c r="C75" i="1"/>
  <c r="C74" i="1"/>
  <c r="C73" i="1"/>
  <c r="C72" i="1"/>
  <c r="K108" i="3" l="1"/>
  <c r="K107" i="3"/>
  <c r="K94" i="3"/>
  <c r="K92" i="3"/>
  <c r="L92" i="3" s="1"/>
  <c r="Q81" i="3"/>
  <c r="K111" i="3" s="1"/>
  <c r="K114" i="3" s="1"/>
  <c r="L81" i="3"/>
  <c r="E106" i="1"/>
  <c r="B72" i="1"/>
  <c r="B73" i="1"/>
  <c r="B74" i="1"/>
  <c r="B75" i="1"/>
  <c r="B76" i="1"/>
  <c r="B77" i="1"/>
  <c r="B78" i="1"/>
  <c r="B79" i="1"/>
  <c r="B80" i="1"/>
  <c r="B71" i="1"/>
  <c r="K109" i="3" l="1"/>
  <c r="K115" i="3" s="1"/>
  <c r="K93" i="3"/>
  <c r="L93" i="3" s="1"/>
  <c r="L94" i="3" s="1"/>
  <c r="F50" i="1"/>
  <c r="L112" i="3" l="1"/>
  <c r="L113" i="3"/>
  <c r="L108" i="3"/>
  <c r="L111" i="3"/>
  <c r="L106" i="3"/>
  <c r="L107" i="3"/>
  <c r="Q91" i="3"/>
  <c r="K96" i="3"/>
  <c r="L96" i="3" s="1"/>
  <c r="L99" i="3" s="1"/>
  <c r="L100" i="3" s="1"/>
  <c r="N80" i="1"/>
  <c r="M147" i="1" s="1"/>
  <c r="C80" i="1"/>
  <c r="B141" i="1"/>
  <c r="G72" i="1"/>
  <c r="G73" i="1"/>
  <c r="G74" i="1"/>
  <c r="G75" i="1"/>
  <c r="G76" i="1"/>
  <c r="G77" i="1"/>
  <c r="G78" i="1"/>
  <c r="G79" i="1"/>
  <c r="C147" i="1"/>
  <c r="N147" i="1" s="1"/>
  <c r="G71" i="1"/>
  <c r="M50" i="1"/>
  <c r="I50" i="1"/>
  <c r="L50" i="1"/>
  <c r="K99" i="3" l="1"/>
  <c r="K100" i="3" s="1"/>
  <c r="E80" i="1"/>
  <c r="L80" i="1" s="1"/>
  <c r="M80" i="1" s="1"/>
  <c r="N81" i="1"/>
  <c r="K102" i="1" s="1"/>
  <c r="C142" i="1"/>
  <c r="N142" i="1" s="1"/>
  <c r="D142" i="1"/>
  <c r="I75" i="1" s="1"/>
  <c r="C143" i="1"/>
  <c r="N143" i="1" s="1"/>
  <c r="D143" i="1"/>
  <c r="I76" i="1" s="1"/>
  <c r="C146" i="1"/>
  <c r="N146" i="1" s="1"/>
  <c r="D146" i="1"/>
  <c r="I79" i="1" s="1"/>
  <c r="C140" i="1"/>
  <c r="N140" i="1" s="1"/>
  <c r="D140" i="1"/>
  <c r="I73" i="1" s="1"/>
  <c r="C145" i="1"/>
  <c r="N145" i="1" s="1"/>
  <c r="D145" i="1"/>
  <c r="I78" i="1" s="1"/>
  <c r="C141" i="1"/>
  <c r="N141" i="1" s="1"/>
  <c r="D141" i="1"/>
  <c r="I74" i="1" s="1"/>
  <c r="C144" i="1"/>
  <c r="N144" i="1" s="1"/>
  <c r="D144" i="1"/>
  <c r="I77" i="1" s="1"/>
  <c r="C139" i="1"/>
  <c r="N139" i="1" s="1"/>
  <c r="D139" i="1"/>
  <c r="I72" i="1" s="1"/>
  <c r="C138" i="1"/>
  <c r="N138" i="1" s="1"/>
  <c r="D138" i="1"/>
  <c r="I71" i="1" s="1"/>
  <c r="M148" i="1"/>
  <c r="E73" i="1" l="1"/>
  <c r="L73" i="1" s="1"/>
  <c r="E79" i="1"/>
  <c r="L79" i="1" s="1"/>
  <c r="M79" i="1" s="1"/>
  <c r="E78" i="1"/>
  <c r="L78" i="1" s="1"/>
  <c r="E72" i="1"/>
  <c r="L72" i="1" s="1"/>
  <c r="E77" i="1"/>
  <c r="L77" i="1" s="1"/>
  <c r="E74" i="1"/>
  <c r="L74" i="1" s="1"/>
  <c r="E76" i="1"/>
  <c r="L76" i="1" s="1"/>
  <c r="E75" i="1"/>
  <c r="L75" i="1" s="1"/>
  <c r="E71" i="1"/>
  <c r="L71" i="1" s="1"/>
  <c r="F80" i="1"/>
  <c r="F79" i="1"/>
  <c r="F78" i="1"/>
  <c r="F73" i="1"/>
  <c r="D148" i="1"/>
  <c r="C86" i="1" s="1"/>
  <c r="F75" i="1" l="1"/>
  <c r="F77" i="1"/>
  <c r="F74" i="1"/>
  <c r="F72" i="1"/>
  <c r="F71" i="1"/>
  <c r="M78" i="1"/>
  <c r="M77" i="1"/>
  <c r="L144" i="1" s="1"/>
  <c r="O144" i="1" s="1"/>
  <c r="M75" i="1"/>
  <c r="M74" i="1"/>
  <c r="M76" i="1"/>
  <c r="B86" i="1"/>
  <c r="C87" i="1"/>
  <c r="F76" i="1"/>
  <c r="O80" i="1"/>
  <c r="P80" i="1" s="1"/>
  <c r="Q80" i="1" s="1"/>
  <c r="L147" i="1"/>
  <c r="O147" i="1" s="1"/>
  <c r="O79" i="1"/>
  <c r="P79" i="1" s="1"/>
  <c r="Q79" i="1" s="1"/>
  <c r="L146" i="1"/>
  <c r="O146" i="1" s="1"/>
  <c r="L145" i="1"/>
  <c r="O145" i="1" s="1"/>
  <c r="N148" i="1"/>
  <c r="K104" i="1" s="1"/>
  <c r="J104" i="1" s="1"/>
  <c r="E81" i="1"/>
  <c r="L142" i="1"/>
  <c r="O142" i="1" s="1"/>
  <c r="O76" i="1" l="1"/>
  <c r="P76" i="1"/>
  <c r="O75" i="1"/>
  <c r="P75" i="1"/>
  <c r="Q75" i="1" s="1"/>
  <c r="O74" i="1"/>
  <c r="P74" i="1"/>
  <c r="O78" i="1"/>
  <c r="P78" i="1"/>
  <c r="Q78" i="1" s="1"/>
  <c r="L141" i="1"/>
  <c r="O141" i="1" s="1"/>
  <c r="L143" i="1"/>
  <c r="O143" i="1" s="1"/>
  <c r="O77" i="1"/>
  <c r="P77" i="1"/>
  <c r="Q77" i="1" s="1"/>
  <c r="M73" i="1"/>
  <c r="M72" i="1"/>
  <c r="M71" i="1"/>
  <c r="P146" i="1"/>
  <c r="L140" i="1"/>
  <c r="O140" i="1" s="1"/>
  <c r="P144" i="1"/>
  <c r="P145" i="1"/>
  <c r="B139" i="1"/>
  <c r="B140" i="1"/>
  <c r="B142" i="1"/>
  <c r="B143" i="1"/>
  <c r="B144" i="1"/>
  <c r="B145" i="1"/>
  <c r="B146" i="1"/>
  <c r="B147" i="1"/>
  <c r="B138" i="1"/>
  <c r="P141" i="1" l="1"/>
  <c r="P143" i="1"/>
  <c r="Q76" i="1"/>
  <c r="Q74" i="1"/>
  <c r="O73" i="1"/>
  <c r="P73" i="1"/>
  <c r="Q73" i="1" s="1"/>
  <c r="L138" i="1"/>
  <c r="O138" i="1" s="1"/>
  <c r="P138" i="1" s="1"/>
  <c r="O72" i="1"/>
  <c r="P72" i="1" s="1"/>
  <c r="L139" i="1"/>
  <c r="M81" i="1"/>
  <c r="K103" i="1" s="1"/>
  <c r="K105" i="1" s="1"/>
  <c r="O71" i="1"/>
  <c r="P147" i="1"/>
  <c r="P140" i="1"/>
  <c r="P142" i="1"/>
  <c r="O81" i="1" l="1"/>
  <c r="P71" i="1"/>
  <c r="Q71" i="1" s="1"/>
  <c r="O139" i="1"/>
  <c r="O148" i="1" s="1"/>
  <c r="K107" i="1" s="1"/>
  <c r="L148" i="1"/>
  <c r="J50" i="1"/>
  <c r="Q72" i="1" l="1"/>
  <c r="Q81" i="1" s="1"/>
  <c r="P139" i="1"/>
  <c r="P148" i="1" s="1"/>
  <c r="N50" i="1"/>
  <c r="K50" i="1"/>
  <c r="H50" i="1"/>
  <c r="G50" i="1"/>
  <c r="L81" i="1" l="1"/>
  <c r="D81" i="1"/>
  <c r="E110" i="1" l="1"/>
  <c r="Q50" i="1"/>
  <c r="E111" i="1" l="1"/>
  <c r="E113" i="1" s="1"/>
  <c r="K108" i="1" l="1"/>
  <c r="K109" i="1" l="1"/>
  <c r="K110" i="1" s="1"/>
  <c r="K148" i="1"/>
  <c r="L107" i="1" l="1"/>
  <c r="L105" i="1"/>
  <c r="L103" i="1"/>
  <c r="L104" i="1"/>
  <c r="L102" i="1"/>
  <c r="L108" i="1"/>
  <c r="L109" i="1"/>
  <c r="Q100" i="1"/>
  <c r="C81" i="1"/>
  <c r="L110" i="1" l="1"/>
  <c r="L114" i="3" l="1"/>
  <c r="L109" i="3"/>
  <c r="L115" i="3" l="1"/>
</calcChain>
</file>

<file path=xl/sharedStrings.xml><?xml version="1.0" encoding="utf-8"?>
<sst xmlns="http://schemas.openxmlformats.org/spreadsheetml/2006/main" count="410" uniqueCount="229">
  <si>
    <t>Zone bleue</t>
  </si>
  <si>
    <t>Zone verte</t>
  </si>
  <si>
    <t>Revêtement de sol imperméable</t>
  </si>
  <si>
    <t>m²</t>
  </si>
  <si>
    <t>Toiture végétalisée</t>
  </si>
  <si>
    <t>A</t>
  </si>
  <si>
    <t>B</t>
  </si>
  <si>
    <t>C</t>
  </si>
  <si>
    <t>D</t>
  </si>
  <si>
    <t>Infiltration</t>
  </si>
  <si>
    <t>m³</t>
  </si>
  <si>
    <t>cm</t>
  </si>
  <si>
    <t>Mode de calcul</t>
  </si>
  <si>
    <t>Zone du zonage pluvial</t>
  </si>
  <si>
    <t>Type de dispositif</t>
  </si>
  <si>
    <t>Revêtement de sol perméable</t>
  </si>
  <si>
    <t>≥ 80 cm</t>
  </si>
  <si>
    <t>Bleue</t>
  </si>
  <si>
    <t>Verte</t>
  </si>
  <si>
    <t>Hachurée</t>
  </si>
  <si>
    <t>Débit d'infiltration</t>
  </si>
  <si>
    <t>Débit d'évacuation total</t>
  </si>
  <si>
    <t>Débit d'évacuation spécifique</t>
  </si>
  <si>
    <t>Volume à stocker</t>
  </si>
  <si>
    <t>Modes d'évacuation</t>
  </si>
  <si>
    <t>Débit de rejet (L/s/ha)</t>
  </si>
  <si>
    <t>Débit de rejet (débit limité)</t>
  </si>
  <si>
    <t>-</t>
  </si>
  <si>
    <t>Rejet à débit limité</t>
  </si>
  <si>
    <t>SAGE Bièvre</t>
  </si>
  <si>
    <t>SAGE Marne Confluence</t>
  </si>
  <si>
    <t>Mode d'évacuation
des eaux pluviales</t>
  </si>
  <si>
    <t>Infiltration et débit limité</t>
  </si>
  <si>
    <t>Oui</t>
  </si>
  <si>
    <t>Non</t>
  </si>
  <si>
    <t>Mode de gestion associé</t>
  </si>
  <si>
    <t>Zones d'application des SAGE</t>
  </si>
  <si>
    <t>Identifiant
du bassin versant</t>
  </si>
  <si>
    <t>Pas de calcul</t>
  </si>
  <si>
    <t>Surface de référence du projet (m²)</t>
  </si>
  <si>
    <t>Évapotranspiration</t>
  </si>
  <si>
    <t>Évapotranpiration</t>
  </si>
  <si>
    <t>A ou B</t>
  </si>
  <si>
    <t>Mode de calcul associé</t>
  </si>
  <si>
    <r>
      <t xml:space="preserve">Surface d'infiltration
</t>
    </r>
    <r>
      <rPr>
        <b/>
        <i/>
        <sz val="9"/>
        <color theme="1"/>
        <rFont val="Montserrat"/>
        <family val="3"/>
        <scheme val="major"/>
      </rPr>
      <t>le cas échéant</t>
    </r>
  </si>
  <si>
    <t>Bassin versant</t>
  </si>
  <si>
    <r>
      <t xml:space="preserve">Les cases </t>
    </r>
    <r>
      <rPr>
        <b/>
        <sz val="10.5"/>
        <color theme="1"/>
        <rFont val="Montserrat SemiBold"/>
        <family val="3"/>
      </rPr>
      <t xml:space="preserve">jaunes </t>
    </r>
    <r>
      <rPr>
        <sz val="10.5"/>
        <color theme="1"/>
        <rFont val="Montserrat SemiBold"/>
        <family val="3"/>
      </rPr>
      <t xml:space="preserve">contiennent des hypothèses de calcul </t>
    </r>
    <r>
      <rPr>
        <b/>
        <sz val="10.5"/>
        <color theme="1"/>
        <rFont val="Montserrat SemiBold"/>
        <family val="3"/>
      </rPr>
      <t>à modifier avec précaution</t>
    </r>
    <r>
      <rPr>
        <sz val="10.5"/>
        <color theme="1"/>
        <rFont val="Montserrat SemiBold"/>
        <family val="3"/>
      </rPr>
      <t>.</t>
    </r>
  </si>
  <si>
    <r>
      <t xml:space="preserve">Les cases </t>
    </r>
    <r>
      <rPr>
        <b/>
        <sz val="10.5"/>
        <color theme="1"/>
        <rFont val="Montserrat SemiBold"/>
        <family val="3"/>
      </rPr>
      <t xml:space="preserve">grises </t>
    </r>
    <r>
      <rPr>
        <sz val="10.5"/>
        <color theme="1"/>
        <rFont val="Montserrat SemiBold"/>
        <family val="3"/>
      </rPr>
      <t xml:space="preserve">sont calculées automatiquement et </t>
    </r>
    <r>
      <rPr>
        <b/>
        <sz val="10.5"/>
        <color theme="1"/>
        <rFont val="Montserrat SemiBold"/>
        <family val="3"/>
      </rPr>
      <t>ne doivent pas être modifiées</t>
    </r>
    <r>
      <rPr>
        <sz val="10.5"/>
        <color theme="1"/>
        <rFont val="Montserrat SemiBold"/>
        <family val="3"/>
      </rPr>
      <t>.</t>
    </r>
  </si>
  <si>
    <t>Espace végétalisé
en pleine terre</t>
  </si>
  <si>
    <t>Jardin de pluie en pleine terre</t>
  </si>
  <si>
    <t>Autre dispositif d'infiltration enterré</t>
  </si>
  <si>
    <r>
      <t xml:space="preserve">Épaisseur
de substrat
</t>
    </r>
    <r>
      <rPr>
        <b/>
        <i/>
        <sz val="9"/>
        <color theme="1"/>
        <rFont val="Montserrat"/>
        <family val="3"/>
        <scheme val="major"/>
      </rPr>
      <t>le cas échéant</t>
    </r>
  </si>
  <si>
    <t>Zone d'application d'un SAGE</t>
  </si>
  <si>
    <t>Zone bleue et hachurée</t>
  </si>
  <si>
    <t>Jardin de pluie étanche</t>
  </si>
  <si>
    <t>Ép. ≥ 15 cm</t>
  </si>
  <si>
    <t>Ép. &lt; 15 cm</t>
  </si>
  <si>
    <t>Toiture terrasse gravillonnée</t>
  </si>
  <si>
    <t>Revêtement de sol semi- perméable</t>
  </si>
  <si>
    <t>Autres surfaces du bassin versant</t>
  </si>
  <si>
    <t>Récupération-utilisation</t>
  </si>
  <si>
    <r>
      <t xml:space="preserve">Les cases bleues servent à </t>
    </r>
    <r>
      <rPr>
        <b/>
        <sz val="10.5"/>
        <color theme="1"/>
        <rFont val="Montserrat SemiBold"/>
        <family val="3"/>
      </rPr>
      <t>renseigner les données d'entrée du projet</t>
    </r>
    <r>
      <rPr>
        <sz val="10.5"/>
        <color theme="1"/>
        <rFont val="Montserrat SemiBold"/>
        <family val="3"/>
      </rPr>
      <t>.</t>
    </r>
  </si>
  <si>
    <t>des dispositifs de gestion des eaux pluviales</t>
  </si>
  <si>
    <t>pour les pluies courantes</t>
  </si>
  <si>
    <t>Outil de dimensionnement</t>
  </si>
  <si>
    <t>Pas de dispositif</t>
  </si>
  <si>
    <t>Épaisseur de substrat (cm)</t>
  </si>
  <si>
    <t>Hypothèses de lames d'eau gérées à la source, en fonction des épaisseurs de substrat des espaces végétalisés</t>
  </si>
  <si>
    <t>Lame d'eau gérée à la source en 24 heures (mm)</t>
  </si>
  <si>
    <t>Surface comptée dans la surface active</t>
  </si>
  <si>
    <t>Tranchée drainante en surface</t>
  </si>
  <si>
    <t>Tranchée drainante enterrée</t>
  </si>
  <si>
    <t>Part des pluies courantes gérées
à la source
en 24 h</t>
  </si>
  <si>
    <t>Hauteur d'eau
moyenne
à gérer dans le dispositif</t>
  </si>
  <si>
    <t>Total</t>
  </si>
  <si>
    <t>Dispositif de gestion des eaux pluviales</t>
  </si>
  <si>
    <t>Nom du projet</t>
  </si>
  <si>
    <t>Surface
totale
du bassin versant</t>
  </si>
  <si>
    <t>Capacité
de gestion
à la source
du dispositif en 24 h</t>
  </si>
  <si>
    <r>
      <t xml:space="preserve">Coefficients de ruissellement pour les pluies courantes </t>
    </r>
    <r>
      <rPr>
        <b/>
        <sz val="10.5"/>
        <color theme="2" tint="-0.249977111117893"/>
        <rFont val="Montserrat"/>
        <family val="3"/>
        <scheme val="major"/>
      </rPr>
      <t>C</t>
    </r>
    <r>
      <rPr>
        <b/>
        <vertAlign val="subscript"/>
        <sz val="10.5"/>
        <color theme="2" tint="-0.249977111117893"/>
        <rFont val="Montserrat"/>
        <family val="3"/>
        <scheme val="major"/>
      </rPr>
      <t>R</t>
    </r>
    <r>
      <rPr>
        <b/>
        <sz val="10.5"/>
        <color theme="1"/>
        <rFont val="Montserrat"/>
        <family val="3"/>
        <scheme val="major"/>
      </rPr>
      <t xml:space="preserve"> (sans unité)</t>
    </r>
  </si>
  <si>
    <r>
      <rPr>
        <b/>
        <sz val="10.5"/>
        <color theme="2" tint="-0.249977111117893"/>
        <rFont val="Montserrat"/>
        <family val="3"/>
        <scheme val="major"/>
      </rPr>
      <t>S</t>
    </r>
    <r>
      <rPr>
        <b/>
        <vertAlign val="subscript"/>
        <sz val="10.5"/>
        <color theme="2" tint="-0.249977111117893"/>
        <rFont val="Montserrat"/>
        <family val="3"/>
        <scheme val="major"/>
      </rPr>
      <t>D</t>
    </r>
    <r>
      <rPr>
        <b/>
        <sz val="10.5"/>
        <rFont val="Montserrat"/>
        <family val="3"/>
        <scheme val="major"/>
      </rPr>
      <t xml:space="preserve">  </t>
    </r>
    <r>
      <rPr>
        <b/>
        <sz val="10.5"/>
        <color theme="1"/>
        <rFont val="Montserrat"/>
        <family val="3"/>
        <scheme val="major"/>
      </rPr>
      <t>m²</t>
    </r>
  </si>
  <si>
    <r>
      <rPr>
        <b/>
        <sz val="10.5"/>
        <color theme="2" tint="-0.249977111117893"/>
        <rFont val="Montserrat"/>
        <family val="3"/>
        <scheme val="major"/>
      </rPr>
      <t>S</t>
    </r>
    <r>
      <rPr>
        <b/>
        <vertAlign val="subscript"/>
        <sz val="10.5"/>
        <color theme="2" tint="-0.249977111117893"/>
        <rFont val="Montserrat"/>
        <family val="3"/>
        <scheme val="major"/>
      </rPr>
      <t>A</t>
    </r>
    <r>
      <rPr>
        <b/>
        <sz val="10.5"/>
        <color theme="1"/>
        <rFont val="Montserrat"/>
        <family val="3"/>
        <scheme val="major"/>
      </rPr>
      <t xml:space="preserve">  m²</t>
    </r>
  </si>
  <si>
    <r>
      <rPr>
        <b/>
        <sz val="10.5"/>
        <color theme="2" tint="-0.249977111117893"/>
        <rFont val="Montserrat"/>
        <family val="3"/>
        <scheme val="major"/>
      </rPr>
      <t>V</t>
    </r>
    <r>
      <rPr>
        <b/>
        <sz val="10.5"/>
        <color theme="1"/>
        <rFont val="Montserrat"/>
        <family val="3"/>
        <scheme val="major"/>
      </rPr>
      <t xml:space="preserve">  m³</t>
    </r>
  </si>
  <si>
    <r>
      <rPr>
        <b/>
        <sz val="10.5"/>
        <color theme="2" tint="-0.249977111117893"/>
        <rFont val="Montserrat"/>
        <family val="3"/>
        <scheme val="major"/>
      </rPr>
      <t>h</t>
    </r>
    <r>
      <rPr>
        <b/>
        <vertAlign val="subscript"/>
        <sz val="10.5"/>
        <color theme="2" tint="-0.249977111117893"/>
        <rFont val="Montserrat"/>
        <family val="3"/>
        <scheme val="major"/>
      </rPr>
      <t>D</t>
    </r>
    <r>
      <rPr>
        <b/>
        <sz val="10.5"/>
        <rFont val="Montserrat"/>
        <family val="3"/>
        <scheme val="major"/>
      </rPr>
      <t xml:space="preserve">  cm</t>
    </r>
  </si>
  <si>
    <r>
      <rPr>
        <b/>
        <sz val="10.5"/>
        <color theme="2" tint="-0.249977111117893"/>
        <rFont val="Montserrat"/>
        <family val="3"/>
        <scheme val="major"/>
      </rPr>
      <t>K</t>
    </r>
    <r>
      <rPr>
        <b/>
        <sz val="10.5"/>
        <color theme="1"/>
        <rFont val="Montserrat"/>
        <family val="3"/>
        <scheme val="major"/>
      </rPr>
      <t xml:space="preserve">  m/s</t>
    </r>
  </si>
  <si>
    <r>
      <rPr>
        <b/>
        <sz val="10.5"/>
        <color theme="2" tint="-0.249977111117893"/>
        <rFont val="Montserrat"/>
        <family val="3"/>
        <scheme val="major"/>
      </rPr>
      <t>V</t>
    </r>
    <r>
      <rPr>
        <b/>
        <vertAlign val="subscript"/>
        <sz val="10.5"/>
        <color theme="2" tint="-0.24994659260841701"/>
        <rFont val="Montserrat"/>
        <family val="3"/>
        <scheme val="major"/>
      </rPr>
      <t>D</t>
    </r>
    <r>
      <rPr>
        <b/>
        <sz val="10.5"/>
        <color theme="1"/>
        <rFont val="Montserrat"/>
        <family val="3"/>
        <scheme val="major"/>
      </rPr>
      <t xml:space="preserve">  m³</t>
    </r>
  </si>
  <si>
    <t>SAGE</t>
  </si>
  <si>
    <t>Mode de gestion
des eaux pluviales</t>
  </si>
  <si>
    <t>Type de dispositif
de gestion des eaux pluviales</t>
  </si>
  <si>
    <t>Surface
du dispositif</t>
  </si>
  <si>
    <t>Bilan des surfaces</t>
  </si>
  <si>
    <r>
      <rPr>
        <b/>
        <sz val="10.5"/>
        <color theme="2" tint="-0.249977111117893"/>
        <rFont val="Montserrat"/>
        <family val="3"/>
        <scheme val="major"/>
      </rPr>
      <t>S</t>
    </r>
    <r>
      <rPr>
        <b/>
        <vertAlign val="subscript"/>
        <sz val="10.5"/>
        <color theme="2" tint="-0.249977111117893"/>
        <rFont val="Montserrat"/>
        <family val="3"/>
        <scheme val="major"/>
      </rPr>
      <t>T</t>
    </r>
    <r>
      <rPr>
        <b/>
        <sz val="10.5"/>
        <color theme="2" tint="-0.249977111117893"/>
        <rFont val="Montserrat"/>
        <family val="3"/>
        <scheme val="major"/>
      </rPr>
      <t xml:space="preserve">  </t>
    </r>
    <r>
      <rPr>
        <b/>
        <sz val="10.5"/>
        <rFont val="Montserrat"/>
        <family val="3"/>
        <scheme val="major"/>
      </rPr>
      <t>m²</t>
    </r>
  </si>
  <si>
    <t>Partie masquée</t>
  </si>
  <si>
    <t>1.  Données d'entrée du projet</t>
  </si>
  <si>
    <t>3.  Dimensionnement des dispositifs de gestion des eaux pluviales pour les pluies courantes</t>
  </si>
  <si>
    <t>4.  Bilan de la gestion des pluies courantes</t>
  </si>
  <si>
    <t>Adresse et arrondissement</t>
  </si>
  <si>
    <t>Surface active
du BV</t>
  </si>
  <si>
    <r>
      <rPr>
        <b/>
        <sz val="10.5"/>
        <color theme="2" tint="-0.249977111117893"/>
        <rFont val="Montserrat"/>
        <family val="3"/>
        <scheme val="major"/>
      </rPr>
      <t>V</t>
    </r>
    <r>
      <rPr>
        <b/>
        <vertAlign val="subscript"/>
        <sz val="10.5"/>
        <color theme="2" tint="-0.249977111117893"/>
        <rFont val="Montserrat"/>
        <family val="3"/>
        <scheme val="major"/>
      </rPr>
      <t>1</t>
    </r>
    <r>
      <rPr>
        <b/>
        <sz val="10.5"/>
        <color theme="2" tint="-0.249977111117893"/>
        <rFont val="Montserrat"/>
        <family val="3"/>
        <scheme val="major"/>
      </rPr>
      <t xml:space="preserve"> </t>
    </r>
    <r>
      <rPr>
        <b/>
        <sz val="10.5"/>
        <color theme="1"/>
        <rFont val="Montserrat"/>
        <family val="3"/>
        <scheme val="major"/>
      </rPr>
      <t xml:space="preserve"> m³</t>
    </r>
  </si>
  <si>
    <t>Calcul de la capacité du dispositif</t>
  </si>
  <si>
    <t>Résultats</t>
  </si>
  <si>
    <r>
      <rPr>
        <b/>
        <sz val="10.5"/>
        <color theme="2" tint="-0.249977111117893"/>
        <rFont val="Montserrat"/>
        <family val="3"/>
        <scheme val="major"/>
      </rPr>
      <t>V</t>
    </r>
    <r>
      <rPr>
        <b/>
        <vertAlign val="subscript"/>
        <sz val="10.5"/>
        <color theme="2" tint="-0.249977111117893"/>
        <rFont val="Montserrat"/>
        <family val="3"/>
        <scheme val="major"/>
      </rPr>
      <t>2</t>
    </r>
    <r>
      <rPr>
        <b/>
        <sz val="10.5"/>
        <color theme="2" tint="-0.249977111117893"/>
        <rFont val="Montserrat"/>
        <family val="3"/>
        <scheme val="major"/>
      </rPr>
      <t xml:space="preserve"> </t>
    </r>
    <r>
      <rPr>
        <b/>
        <sz val="10.5"/>
        <rFont val="Montserrat"/>
        <family val="3"/>
        <scheme val="major"/>
      </rPr>
      <t xml:space="preserve"> m³</t>
    </r>
  </si>
  <si>
    <t>Volume géré  par les autres surfaces perméables du BV</t>
  </si>
  <si>
    <r>
      <t>Coefficient de ruissellement</t>
    </r>
    <r>
      <rPr>
        <b/>
        <vertAlign val="superscript"/>
        <sz val="10.5"/>
        <color theme="1"/>
        <rFont val="Montserrat"/>
        <family val="3"/>
        <scheme val="major"/>
      </rPr>
      <t xml:space="preserve">
</t>
    </r>
    <r>
      <rPr>
        <b/>
        <sz val="10.5"/>
        <color theme="1"/>
        <rFont val="Montserrat"/>
        <family val="3"/>
        <scheme val="major"/>
      </rPr>
      <t>du BV</t>
    </r>
  </si>
  <si>
    <t>Surface
totale
du BV</t>
  </si>
  <si>
    <t>Volume
géré à la source par
le dispositif
en 24 h</t>
  </si>
  <si>
    <r>
      <t xml:space="preserve">Perméabilité*
</t>
    </r>
    <r>
      <rPr>
        <b/>
        <i/>
        <sz val="9"/>
        <color theme="1"/>
        <rFont val="Montserrat"/>
        <family val="3"/>
        <scheme val="major"/>
      </rPr>
      <t>le cas échéant</t>
    </r>
  </si>
  <si>
    <t>Récupération-utilisation**</t>
  </si>
  <si>
    <t>Bilan des volumes</t>
  </si>
  <si>
    <t>Volume non géré à la source</t>
  </si>
  <si>
    <t>Surfaces non renseignées (écart entre la surface des BV et la surface de référence)</t>
  </si>
  <si>
    <t>% de l'objectif</t>
  </si>
  <si>
    <t>Taux de gestion à la source
des pluies courantes
par rapport à l'objectif</t>
  </si>
  <si>
    <t>Volume géré par les dispositifs d'INF et d'ET</t>
  </si>
  <si>
    <t>Volume géré par récupération-utilisation</t>
  </si>
  <si>
    <t>Volume non géré</t>
  </si>
  <si>
    <t>Volume total</t>
  </si>
  <si>
    <t>Sous-total – Surfaces des BV renseignés</t>
  </si>
  <si>
    <t>Sous-total</t>
  </si>
  <si>
    <r>
      <t xml:space="preserve">Volume total géré à la source
</t>
    </r>
    <r>
      <rPr>
        <b/>
        <sz val="10.5"/>
        <color theme="2" tint="-0.249977111117893"/>
        <rFont val="Montserrat"/>
        <family val="3"/>
        <scheme val="major"/>
      </rPr>
      <t>(V</t>
    </r>
    <r>
      <rPr>
        <b/>
        <vertAlign val="subscript"/>
        <sz val="10.5"/>
        <color theme="2" tint="-0.249977111117893"/>
        <rFont val="Montserrat"/>
        <family val="3"/>
        <scheme val="major"/>
      </rPr>
      <t>1</t>
    </r>
    <r>
      <rPr>
        <b/>
        <sz val="10.5"/>
        <color theme="2" tint="-0.249977111117893"/>
        <rFont val="Montserrat"/>
        <family val="3"/>
        <scheme val="major"/>
      </rPr>
      <t xml:space="preserve"> + V</t>
    </r>
    <r>
      <rPr>
        <b/>
        <vertAlign val="subscript"/>
        <sz val="10.5"/>
        <color theme="2" tint="-0.249977111117893"/>
        <rFont val="Montserrat"/>
        <family val="3"/>
        <scheme val="major"/>
      </rPr>
      <t>2</t>
    </r>
    <r>
      <rPr>
        <b/>
        <sz val="10.5"/>
        <color theme="2" tint="-0.249977111117893"/>
        <rFont val="Montserrat"/>
        <family val="3"/>
        <scheme val="major"/>
      </rPr>
      <t>)</t>
    </r>
  </si>
  <si>
    <r>
      <t>2.</t>
    </r>
    <r>
      <rPr>
        <b/>
        <i/>
        <sz val="11"/>
        <color rgb="FFFFFFFF"/>
        <rFont val="Montserrat"/>
        <family val="3"/>
        <scheme val="major"/>
      </rPr>
      <t xml:space="preserve">  </t>
    </r>
    <r>
      <rPr>
        <b/>
        <sz val="11"/>
        <color rgb="FFFFFFFF"/>
        <rFont val="Montserrat"/>
        <family val="3"/>
        <scheme val="major"/>
      </rPr>
      <t>Caractéristiques des bassins versants</t>
    </r>
  </si>
  <si>
    <r>
      <t xml:space="preserve">Lame d'eau à gérer à la source </t>
    </r>
    <r>
      <rPr>
        <b/>
        <sz val="10.5"/>
        <color theme="2" tint="-0.249977111117893"/>
        <rFont val="Montserrat"/>
        <family val="3"/>
        <scheme val="major"/>
      </rPr>
      <t>P</t>
    </r>
    <r>
      <rPr>
        <b/>
        <sz val="10.5"/>
        <color theme="1"/>
        <rFont val="Montserrat"/>
        <family val="3"/>
        <scheme val="major"/>
      </rPr>
      <t xml:space="preserve"> (mm)</t>
    </r>
  </si>
  <si>
    <r>
      <rPr>
        <b/>
        <sz val="10.5"/>
        <color theme="2" tint="-0.249977111117893"/>
        <rFont val="Montserrat"/>
        <family val="3"/>
        <scheme val="major"/>
      </rPr>
      <t>C</t>
    </r>
    <r>
      <rPr>
        <b/>
        <vertAlign val="subscript"/>
        <sz val="10.5"/>
        <color theme="2" tint="-0.249977111117893"/>
        <rFont val="Montserrat"/>
        <family val="3"/>
        <scheme val="major"/>
      </rPr>
      <t>BV</t>
    </r>
    <r>
      <rPr>
        <b/>
        <sz val="10.5"/>
        <color theme="1"/>
        <rFont val="Montserrat"/>
        <family val="3"/>
        <scheme val="major"/>
      </rPr>
      <t xml:space="preserve">  </t>
    </r>
    <r>
      <rPr>
        <b/>
        <sz val="10"/>
        <color theme="1"/>
        <rFont val="Montserrat"/>
        <family val="3"/>
        <scheme val="major"/>
      </rPr>
      <t>sans unité</t>
    </r>
  </si>
  <si>
    <t>Espace végétalisé
sur dalle ou étanche,
Toiture végétalisée</t>
  </si>
  <si>
    <t>Hors périmètre de SAGE</t>
  </si>
  <si>
    <r>
      <rPr>
        <b/>
        <sz val="10.5"/>
        <color theme="2" tint="-0.249977111117893"/>
        <rFont val="Montserrat"/>
        <family val="3"/>
        <scheme val="major"/>
      </rPr>
      <t>S</t>
    </r>
    <r>
      <rPr>
        <b/>
        <vertAlign val="subscript"/>
        <sz val="10.5"/>
        <color theme="2" tint="-0.249977111117893"/>
        <rFont val="Montserrat"/>
        <family val="3"/>
        <scheme val="major"/>
      </rPr>
      <t>BV</t>
    </r>
    <r>
      <rPr>
        <b/>
        <sz val="10.5"/>
        <color theme="2" tint="-0.249977111117893"/>
        <rFont val="Montserrat"/>
        <family val="3"/>
        <scheme val="major"/>
      </rPr>
      <t xml:space="preserve">  </t>
    </r>
    <r>
      <rPr>
        <b/>
        <sz val="10.5"/>
        <color theme="1"/>
        <rFont val="Montserrat"/>
        <family val="3"/>
        <scheme val="major"/>
      </rPr>
      <t>m²</t>
    </r>
  </si>
  <si>
    <t>Volume et hauteur d'eau à gérer dans le dispositif</t>
  </si>
  <si>
    <t>Volume
à gérer
à la source
dans
le dispositif</t>
  </si>
  <si>
    <t>Objectif de volume à gérer à la source selon la surface de référence (m³)</t>
  </si>
  <si>
    <r>
      <t xml:space="preserve">      </t>
    </r>
    <r>
      <rPr>
        <sz val="9"/>
        <color theme="1"/>
        <rFont val="Montserrat SemiBold"/>
        <family val="3"/>
      </rPr>
      <t xml:space="preserve"> </t>
    </r>
    <r>
      <rPr>
        <sz val="10.5"/>
        <color theme="1"/>
        <rFont val="Montserrat SemiBold"/>
        <family val="3"/>
      </rPr>
      <t>si la surface totale des bassins versants gérés</t>
    </r>
  </si>
  <si>
    <r>
      <t xml:space="preserve">      </t>
    </r>
    <r>
      <rPr>
        <sz val="9"/>
        <color theme="1"/>
        <rFont val="Montserrat SemiBold"/>
        <family val="3"/>
      </rPr>
      <t xml:space="preserve"> </t>
    </r>
    <r>
      <rPr>
        <sz val="10.5"/>
        <color theme="1"/>
        <rFont val="Montserrat SemiBold"/>
        <family val="3"/>
      </rPr>
      <t>est supérieure à la surface de référence.</t>
    </r>
  </si>
  <si>
    <t>Dispositif de stockage à ciel ouvert</t>
  </si>
  <si>
    <t>Dispositif de stockage enterré</t>
  </si>
  <si>
    <t>Calcul des débits d'évacuation</t>
  </si>
  <si>
    <r>
      <t xml:space="preserve">Perméabilité
</t>
    </r>
    <r>
      <rPr>
        <b/>
        <i/>
        <sz val="9"/>
        <color theme="1"/>
        <rFont val="Montserrat"/>
        <family val="3"/>
        <scheme val="major"/>
      </rPr>
      <t>le cas échéant</t>
    </r>
  </si>
  <si>
    <r>
      <rPr>
        <b/>
        <sz val="10.5"/>
        <color theme="2" tint="-0.249977111117893"/>
        <rFont val="Montserrat"/>
        <family val="3"/>
        <scheme val="major"/>
      </rPr>
      <t>S</t>
    </r>
    <r>
      <rPr>
        <b/>
        <vertAlign val="subscript"/>
        <sz val="10.5"/>
        <color theme="2" tint="-0.249977111117893"/>
        <rFont val="Montserrat"/>
        <family val="3"/>
        <scheme val="major"/>
      </rPr>
      <t>D</t>
    </r>
    <r>
      <rPr>
        <b/>
        <sz val="10.5"/>
        <color theme="1"/>
        <rFont val="Montserrat"/>
        <family val="3"/>
        <scheme val="major"/>
      </rPr>
      <t xml:space="preserve">  m²</t>
    </r>
  </si>
  <si>
    <r>
      <rPr>
        <b/>
        <sz val="10.5"/>
        <color theme="2" tint="-0.249977111117893"/>
        <rFont val="Montserrat"/>
        <family val="3"/>
        <scheme val="major"/>
      </rPr>
      <t>Q</t>
    </r>
    <r>
      <rPr>
        <b/>
        <vertAlign val="subscript"/>
        <sz val="10.5"/>
        <color theme="2" tint="-0.24994659260841701"/>
        <rFont val="Montserrat"/>
        <family val="3"/>
        <scheme val="major"/>
      </rPr>
      <t>INF</t>
    </r>
    <r>
      <rPr>
        <b/>
        <sz val="10.5"/>
        <color theme="1"/>
        <rFont val="Montserrat"/>
        <family val="3"/>
        <scheme val="major"/>
      </rPr>
      <t xml:space="preserve">  L/s</t>
    </r>
  </si>
  <si>
    <r>
      <rPr>
        <b/>
        <sz val="10.5"/>
        <color theme="2" tint="-0.249977111117893"/>
        <rFont val="Montserrat"/>
        <family val="3"/>
        <scheme val="major"/>
      </rPr>
      <t>Q</t>
    </r>
    <r>
      <rPr>
        <b/>
        <vertAlign val="subscript"/>
        <sz val="10.5"/>
        <color theme="2" tint="-0.24994659260841701"/>
        <rFont val="Montserrat"/>
        <family val="3"/>
        <scheme val="major"/>
      </rPr>
      <t>F</t>
    </r>
    <r>
      <rPr>
        <b/>
        <sz val="10.5"/>
        <color theme="1"/>
        <rFont val="Montserrat"/>
        <family val="3"/>
        <scheme val="major"/>
      </rPr>
      <t xml:space="preserve">  L/s</t>
    </r>
  </si>
  <si>
    <r>
      <rPr>
        <b/>
        <sz val="10.5"/>
        <color theme="2" tint="-0.249977111117893"/>
        <rFont val="Montserrat"/>
        <family val="3"/>
        <scheme val="major"/>
      </rPr>
      <t>Q</t>
    </r>
    <r>
      <rPr>
        <b/>
        <vertAlign val="subscript"/>
        <sz val="10.5"/>
        <color theme="2" tint="-0.24994659260841701"/>
        <rFont val="Montserrat"/>
        <family val="3"/>
        <scheme val="major"/>
      </rPr>
      <t>T</t>
    </r>
    <r>
      <rPr>
        <b/>
        <sz val="10.5"/>
        <color theme="1"/>
        <rFont val="Montserrat"/>
        <family val="3"/>
        <scheme val="major"/>
      </rPr>
      <t xml:space="preserve">  L/s</t>
    </r>
  </si>
  <si>
    <r>
      <rPr>
        <b/>
        <sz val="10.5"/>
        <color theme="2" tint="-0.249977111117893"/>
        <rFont val="Montserrat"/>
        <family val="3"/>
        <scheme val="major"/>
      </rPr>
      <t>Q</t>
    </r>
    <r>
      <rPr>
        <b/>
        <vertAlign val="subscript"/>
        <sz val="10.5"/>
        <color theme="2" tint="-0.249977111117893"/>
        <rFont val="Montserrat"/>
        <family val="3"/>
        <scheme val="major"/>
      </rPr>
      <t>SP</t>
    </r>
    <r>
      <rPr>
        <b/>
        <sz val="10.5"/>
        <color theme="2" tint="-0.249977111117893"/>
        <rFont val="Montserrat"/>
        <family val="3"/>
        <scheme val="major"/>
      </rPr>
      <t xml:space="preserve"> </t>
    </r>
    <r>
      <rPr>
        <b/>
        <sz val="10.5"/>
        <rFont val="Montserrat"/>
        <family val="3"/>
        <scheme val="major"/>
      </rPr>
      <t xml:space="preserve"> </t>
    </r>
    <r>
      <rPr>
        <b/>
        <sz val="9"/>
        <rFont val="Montserrat"/>
        <family val="3"/>
        <scheme val="major"/>
      </rPr>
      <t>L/s/ha actif</t>
    </r>
  </si>
  <si>
    <r>
      <rPr>
        <b/>
        <sz val="10.5"/>
        <color theme="2" tint="-0.249977111117893"/>
        <rFont val="Montserrat"/>
        <family val="3"/>
        <scheme val="major"/>
      </rPr>
      <t>V</t>
    </r>
    <r>
      <rPr>
        <b/>
        <vertAlign val="subscript"/>
        <sz val="10.5"/>
        <color theme="2" tint="-0.249977111117893"/>
        <rFont val="Montserrat"/>
        <family val="3"/>
        <scheme val="major"/>
      </rPr>
      <t>SP</t>
    </r>
    <r>
      <rPr>
        <b/>
        <sz val="10.5"/>
        <color theme="2" tint="-0.249977111117893"/>
        <rFont val="Montserrat"/>
        <family val="3"/>
        <scheme val="major"/>
      </rPr>
      <t xml:space="preserve">  </t>
    </r>
    <r>
      <rPr>
        <b/>
        <sz val="9"/>
        <color theme="1"/>
        <rFont val="Montserrat"/>
        <family val="3"/>
        <scheme val="major"/>
      </rPr>
      <t>m³/ha actif</t>
    </r>
  </si>
  <si>
    <r>
      <rPr>
        <b/>
        <sz val="10.5"/>
        <color theme="2" tint="-0.249977111117893"/>
        <rFont val="Montserrat"/>
        <family val="3"/>
        <scheme val="major"/>
      </rPr>
      <t>h</t>
    </r>
    <r>
      <rPr>
        <b/>
        <vertAlign val="subscript"/>
        <sz val="10.5"/>
        <color theme="2" tint="-0.249977111117893"/>
        <rFont val="Montserrat"/>
        <family val="3"/>
        <scheme val="major"/>
      </rPr>
      <t>D</t>
    </r>
    <r>
      <rPr>
        <b/>
        <sz val="10.5"/>
        <color theme="2" tint="-0.249977111117893"/>
        <rFont val="Montserrat"/>
        <family val="3"/>
        <scheme val="major"/>
      </rPr>
      <t xml:space="preserve">  </t>
    </r>
    <r>
      <rPr>
        <b/>
        <sz val="10.5"/>
        <color theme="1"/>
        <rFont val="Montserrat"/>
        <family val="3"/>
        <scheme val="major"/>
      </rPr>
      <t>cm</t>
    </r>
  </si>
  <si>
    <r>
      <rPr>
        <b/>
        <sz val="10.5"/>
        <color theme="2" tint="-0.249977111117893"/>
        <rFont val="Montserrat"/>
        <family val="3"/>
        <scheme val="major"/>
      </rPr>
      <t>D</t>
    </r>
    <r>
      <rPr>
        <b/>
        <vertAlign val="subscript"/>
        <sz val="10.5"/>
        <color theme="2" tint="-0.249977111117893"/>
        <rFont val="Montserrat"/>
        <family val="3"/>
        <scheme val="major"/>
      </rPr>
      <t>V</t>
    </r>
    <r>
      <rPr>
        <b/>
        <sz val="10.5"/>
        <color theme="2" tint="-0.249977111117893"/>
        <rFont val="Montserrat"/>
        <family val="3"/>
        <scheme val="major"/>
      </rPr>
      <t xml:space="preserve">  </t>
    </r>
    <r>
      <rPr>
        <b/>
        <sz val="10.5"/>
        <color theme="1"/>
        <rFont val="Montserrat"/>
        <family val="3"/>
        <scheme val="major"/>
      </rPr>
      <t>heures</t>
    </r>
  </si>
  <si>
    <t>3.  Prédimensionnement des dispositifs de gestion des eaux pluviales pour la pluie décennale de référence</t>
  </si>
  <si>
    <t xml:space="preserve"> </t>
  </si>
  <si>
    <t>Zonage pluvial</t>
  </si>
  <si>
    <t>Gestion à la source – 10 mm</t>
  </si>
  <si>
    <t>Gestion à la source – Pluie décennale</t>
  </si>
  <si>
    <t>Stockage-restitution – Pluie décennale</t>
  </si>
  <si>
    <t>Chaussée réservoir</t>
  </si>
  <si>
    <t>Espaces végétalisés en pleine terre</t>
  </si>
  <si>
    <t>Revêtements perméables</t>
  </si>
  <si>
    <t>Revêtements semi-perméables</t>
  </si>
  <si>
    <t>Perméabilité par défaut</t>
  </si>
  <si>
    <t>i</t>
  </si>
  <si>
    <t>Un bassin versant (BV) est une zone dont toutes les eaux pluviales rejoignent un même dispositif de gestion des eaux pluviales.</t>
  </si>
  <si>
    <r>
      <rPr>
        <sz val="10.5"/>
        <rFont val="Montserrat SemiBold"/>
        <family val="3"/>
      </rPr>
      <t xml:space="preserve">Pour chaque dispositif gérant les eaux pluviales par infiltration ou par évapotranspiration, </t>
    </r>
    <r>
      <rPr>
        <sz val="10.5"/>
        <rFont val="Montserrat SemiBold"/>
        <family val="1"/>
        <charset val="2"/>
      </rPr>
      <t>renseigner un coefficient de perméabilité ou une épaisseur de substrat.</t>
    </r>
  </si>
  <si>
    <r>
      <rPr>
        <sz val="10.5"/>
        <rFont val="Montserrat SemiBold"/>
        <family val="3"/>
      </rPr>
      <t>Vérifier que la capacité du dispositif est suffisante pour gérer les pluies courantes à la source, en 24 heures.</t>
    </r>
    <r>
      <rPr>
        <sz val="10.5"/>
        <rFont val="Montserrat SemiBold"/>
        <family val="1"/>
        <charset val="2"/>
      </rPr>
      <t xml:space="preserve"> Si ce n'est pas le cas, le projet doit être ajusté.</t>
    </r>
  </si>
  <si>
    <t>* La perméabilité est facultative pour les jardins de pluie en pleine terre, et doit être renseignée pour les autres dispositifs d'infiltration.</t>
  </si>
  <si>
    <r>
      <t>** Le présent outil ne permet pas de dimensionner les dispositifs de récupération-utilisation.</t>
    </r>
    <r>
      <rPr>
        <sz val="10.5"/>
        <color theme="1"/>
        <rFont val="Montserrat SemiBold"/>
        <family val="1"/>
        <charset val="2"/>
      </rPr>
      <t xml:space="preserve"> Le dimensionnement devra être justifié dans la note de gestion des eaux pluviales jointe à la demande d'AVEP.</t>
    </r>
  </si>
  <si>
    <r>
      <rPr>
        <sz val="16"/>
        <rFont val="Webdings"/>
        <family val="1"/>
        <charset val="2"/>
      </rPr>
      <t>i</t>
    </r>
    <r>
      <rPr>
        <sz val="10.5"/>
        <rFont val="Montserrat SemiBold"/>
        <family val="3"/>
      </rPr>
      <t xml:space="preserve"> La surface de référence est définie à l'article 2.2.1 du zonage pluvial.</t>
    </r>
  </si>
  <si>
    <r>
      <rPr>
        <sz val="16"/>
        <rFont val="Webdings"/>
        <family val="1"/>
        <charset val="2"/>
      </rPr>
      <t>i</t>
    </r>
    <r>
      <rPr>
        <sz val="10.5"/>
        <rFont val="Webdings"/>
        <family val="1"/>
        <charset val="2"/>
      </rPr>
      <t xml:space="preserve"> </t>
    </r>
    <r>
      <rPr>
        <sz val="10.5"/>
        <rFont val="Montserrat SemiBold"/>
        <family val="3"/>
      </rPr>
      <t>Fonctionnement du tableur</t>
    </r>
  </si>
  <si>
    <r>
      <rPr>
        <sz val="16"/>
        <rFont val="Webdings"/>
        <family val="1"/>
        <charset val="2"/>
      </rPr>
      <t>i</t>
    </r>
    <r>
      <rPr>
        <sz val="10.5"/>
        <rFont val="Webdings"/>
        <family val="1"/>
        <charset val="2"/>
      </rPr>
      <t xml:space="preserve"> </t>
    </r>
    <r>
      <rPr>
        <sz val="10.5"/>
        <rFont val="Montserrat SemiBold"/>
        <family val="3"/>
      </rPr>
      <t>Le taux peut être supérieur à 100 %</t>
    </r>
  </si>
  <si>
    <t>Infiltration / évapotranspir.</t>
  </si>
  <si>
    <r>
      <rPr>
        <sz val="10.5"/>
        <rFont val="Montserrat SemiBold"/>
        <family val="3"/>
      </rPr>
      <t>Pour chaque dispositif, renseigner le mode d'évacuation des eaux pluviales et, pour les dispositifs d'infiltration, renseigner la perméabilité.</t>
    </r>
    <r>
      <rPr>
        <sz val="10.5"/>
        <rFont val="Montserrat SemiBold"/>
        <family val="1"/>
        <charset val="2"/>
      </rPr>
      <t xml:space="preserve"> Vérifier les résultats du prédimensionnement.</t>
    </r>
  </si>
  <si>
    <t>Toiture végétalisée avec stockage</t>
  </si>
  <si>
    <t>pour la pluie décennale de référence</t>
  </si>
  <si>
    <t>Toiture imperméable</t>
  </si>
  <si>
    <t>Espaces végétalisés sur dalle ou étanches, toitures végétalisées</t>
  </si>
  <si>
    <t>Surfaces imperméables dont les eaux pluviales sont renvoyées vers un dispositif</t>
  </si>
  <si>
    <t>Surfaces imperméables dont les eaux pluviales sont renvoyées à l'égout</t>
  </si>
  <si>
    <t>Espaces végétalisés étanches</t>
  </si>
  <si>
    <t>Volume non ruisselé</t>
  </si>
  <si>
    <r>
      <t xml:space="preserve">Alerte calcul infiltration
</t>
    </r>
    <r>
      <rPr>
        <sz val="14"/>
        <color theme="8" tint="-0.499984740745262"/>
        <rFont val="Montserrat SemiBold"/>
        <family val="3"/>
      </rPr>
      <t>⚠️</t>
    </r>
  </si>
  <si>
    <t>Surface imperméable
associée à un dispositif</t>
  </si>
  <si>
    <t>Surface imperméable non associée à un dispositif</t>
  </si>
  <si>
    <t>Avertissement : les utilisateurs de cette note de calcul restent pleinement responsables du dimensionnement des ouvrages qu'ils conçoivent ou réalisent.</t>
  </si>
  <si>
    <t>Fin de la partie masquée</t>
  </si>
  <si>
    <t>10 à 14 cm</t>
  </si>
  <si>
    <t xml:space="preserve">15 à 19 cm </t>
  </si>
  <si>
    <t>20 à 29 cm</t>
  </si>
  <si>
    <t>30 à 49 cm</t>
  </si>
  <si>
    <t>50 à 79 cm</t>
  </si>
  <si>
    <t>≤ 9 cm</t>
  </si>
  <si>
    <t>Capacité
de stockage prévue</t>
  </si>
  <si>
    <r>
      <rPr>
        <b/>
        <sz val="10.5"/>
        <color theme="2" tint="-0.249977111117893"/>
        <rFont val="Montserrat"/>
        <family val="3"/>
        <scheme val="major"/>
      </rPr>
      <t>V</t>
    </r>
    <r>
      <rPr>
        <b/>
        <vertAlign val="subscript"/>
        <sz val="10.5"/>
        <color theme="2" tint="-0.249977111117893"/>
        <rFont val="Montserrat"/>
        <family val="3"/>
        <scheme val="major"/>
      </rPr>
      <t>D</t>
    </r>
    <r>
      <rPr>
        <b/>
        <sz val="10.5"/>
        <color theme="1"/>
        <rFont val="Montserrat"/>
        <family val="3"/>
        <scheme val="major"/>
      </rPr>
      <t xml:space="preserve">  m³</t>
    </r>
  </si>
  <si>
    <t>Part du volume stocké pour
la pluie décennale</t>
  </si>
  <si>
    <t>Durée
de vidange</t>
  </si>
  <si>
    <t>Hauteur d'eau moyenne
à prévoir</t>
  </si>
  <si>
    <t>4. Bilan de la gestion de la pluie décennale</t>
  </si>
  <si>
    <t>Bilan pour la pluie décennale</t>
  </si>
  <si>
    <t>Bilan pour les pluies courantes</t>
  </si>
  <si>
    <t>Données d'entrée pour le calcul des débits d'évacuation</t>
  </si>
  <si>
    <t>Volume
non stocké pour la pluie décennale</t>
  </si>
  <si>
    <t>% du total</t>
  </si>
  <si>
    <t>par les surfaces perméables ou végétalisées</t>
  </si>
  <si>
    <t>par les dispositifs d'infiltration et d'évapotranspiration</t>
  </si>
  <si>
    <t>par récupération-utilisation</t>
  </si>
  <si>
    <t>dans les bassins versants renseignés</t>
  </si>
  <si>
    <t>correspondant aux surfaces non renseignées</t>
  </si>
  <si>
    <t>par des dispositifs d'infiltration</t>
  </si>
  <si>
    <t>par des dispositifs de stockage-restitution</t>
  </si>
  <si>
    <t>par des dispositifs mixtes</t>
  </si>
  <si>
    <t>dans les bassins versants munis d'un dispositif</t>
  </si>
  <si>
    <r>
      <t xml:space="preserve">correspondant aux surfaces non renseignées </t>
    </r>
    <r>
      <rPr>
        <b/>
        <i/>
        <sz val="10.5"/>
        <color theme="1"/>
        <rFont val="Montserrat SemiBold"/>
        <family val="3"/>
      </rPr>
      <t>(approx.)</t>
    </r>
  </si>
  <si>
    <r>
      <t xml:space="preserve">dans les bassins versants sans dispositif </t>
    </r>
    <r>
      <rPr>
        <b/>
        <i/>
        <sz val="10.5"/>
        <color theme="1"/>
        <rFont val="Montserrat SemiBold"/>
        <family val="3"/>
      </rPr>
      <t>(approx.)</t>
    </r>
  </si>
  <si>
    <t>Surfaces des dispositifs de gestion
des eaux pluviales à ciel ouvert</t>
  </si>
  <si>
    <t>Bassins versants gérés en totalité</t>
  </si>
  <si>
    <t>Surfaces non renseignées</t>
  </si>
  <si>
    <t>% de la surf. de référence</t>
  </si>
  <si>
    <t>Bassins versants sans dispositif</t>
  </si>
  <si>
    <r>
      <t xml:space="preserve">Bassins versants en partie non gérés </t>
    </r>
    <r>
      <rPr>
        <b/>
        <i/>
        <sz val="10.5"/>
        <color theme="1"/>
        <rFont val="Montserrat SemiBold"/>
        <family val="3"/>
      </rPr>
      <t>(surf. pondérées)</t>
    </r>
  </si>
  <si>
    <r>
      <t xml:space="preserve">Bassins versants en partie gérés </t>
    </r>
    <r>
      <rPr>
        <b/>
        <i/>
        <sz val="10.5"/>
        <color theme="1"/>
        <rFont val="Montserrat SemiBold"/>
        <family val="3"/>
      </rPr>
      <t>(surfaces pondérées)</t>
    </r>
  </si>
  <si>
    <t>m² (surface brute)</t>
  </si>
  <si>
    <t>Bilan des types de surfaces</t>
  </si>
  <si>
    <t>Volume
de stockage par hectare
de surface active</t>
  </si>
  <si>
    <t>Bilan des surfaces gérées ou non pour la pluie décennale</t>
  </si>
  <si>
    <t>Surfaces gérées pour la pluie décennale</t>
  </si>
  <si>
    <t>Surfaces non gérées pour la pluie décennale</t>
  </si>
  <si>
    <t>Volumes stockés pour la pluie décennale</t>
  </si>
  <si>
    <t>Volumes non stockés pour la pluie décennale</t>
  </si>
  <si>
    <t>Bilan des volumes pour les pluies courantes</t>
  </si>
  <si>
    <t>Volume géré à la source pour les pluies courantes</t>
  </si>
  <si>
    <t>Volume non géré à la source pour les pluies courantes</t>
  </si>
  <si>
    <t>Bilan des volumes pour la pluie décennale</t>
  </si>
  <si>
    <t>Taux de surfaces gérées pour la pluie décennale, par rapport à la surface de référence</t>
  </si>
  <si>
    <r>
      <t xml:space="preserve">Pour chaque BV, renseigner le type de dispositif, la surface du dispositif, puis les </t>
    </r>
    <r>
      <rPr>
        <b/>
        <u/>
        <sz val="10.5"/>
        <color rgb="FFE73088"/>
        <rFont val="Montserrat"/>
        <family val="3"/>
      </rPr>
      <t>autres</t>
    </r>
    <r>
      <rPr>
        <b/>
        <sz val="10.5"/>
        <rFont val="Montserrat"/>
        <family val="3"/>
      </rPr>
      <t xml:space="preserve"> types de surfaces composant le BV. Enfin, </t>
    </r>
    <r>
      <rPr>
        <b/>
        <u/>
        <sz val="10.5"/>
        <rFont val="Montserrat"/>
        <family val="3"/>
      </rPr>
      <t>vérifier que la surface totale du BV est exacte</t>
    </r>
    <r>
      <rPr>
        <b/>
        <sz val="10.5"/>
        <rFont val="Montserrat"/>
        <family val="3"/>
      </rPr>
      <t>.</t>
    </r>
  </si>
  <si>
    <r>
      <t xml:space="preserve">Le prédimensionnement correspond à une </t>
    </r>
    <r>
      <rPr>
        <b/>
        <sz val="10.5"/>
        <color rgb="FFE73088"/>
        <rFont val="Montserrat"/>
        <family val="3"/>
        <scheme val="major"/>
      </rPr>
      <t>pluie décennale d'une hauteur de 48 mm et d'une durée de 4 heures.</t>
    </r>
  </si>
  <si>
    <t>Conception : Ville de Paris / Direction de la Propreté et de l'Eau / Service Technique de l'Eau et de l'Assainissement – Mars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</si>
</sst>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#,##0.0"/>
    <numFmt numFmtId="166" formatCode="#,##0.0_ ;\-#,##0.0\ "/>
    <numFmt numFmtId="167" formatCode="#,##0.00_ ;\-#,##0.00\ "/>
  </numFmts>
  <fonts count="51" x14ac:knownFonts="1">
    <font>
      <sz val="11"/>
      <color theme="1"/>
      <name val="Montserrat"/>
      <family val="2"/>
      <scheme val="minor"/>
    </font>
    <font>
      <sz val="10.5"/>
      <color rgb="FFFFFFFF"/>
      <name val="Montserrat SemiBold"/>
      <family val="3"/>
    </font>
    <font>
      <sz val="10.5"/>
      <color theme="1"/>
      <name val="Montserrat SemiBold"/>
      <family val="3"/>
    </font>
    <font>
      <b/>
      <sz val="10.5"/>
      <color theme="1"/>
      <name val="Montserrat SemiBold"/>
      <family val="3"/>
    </font>
    <font>
      <i/>
      <sz val="10.5"/>
      <color theme="1"/>
      <name val="Montserrat SemiBold"/>
      <family val="3"/>
    </font>
    <font>
      <b/>
      <sz val="10.5"/>
      <color theme="1"/>
      <name val="Montserrat"/>
      <family val="3"/>
      <scheme val="major"/>
    </font>
    <font>
      <sz val="16"/>
      <color theme="2" tint="-0.249977111117893"/>
      <name val="Montserrat SemiBold"/>
      <family val="3"/>
    </font>
    <font>
      <b/>
      <sz val="10.5"/>
      <color theme="8"/>
      <name val="Montserrat"/>
      <family val="3"/>
      <scheme val="major"/>
    </font>
    <font>
      <sz val="11"/>
      <color theme="1"/>
      <name val="Montserrat"/>
      <family val="2"/>
      <scheme val="minor"/>
    </font>
    <font>
      <b/>
      <sz val="10.5"/>
      <name val="Montserrat"/>
      <family val="3"/>
      <scheme val="major"/>
    </font>
    <font>
      <sz val="10.5"/>
      <color theme="8" tint="-0.249977111117893"/>
      <name val="Montserrat SemiBold"/>
      <family val="3"/>
    </font>
    <font>
      <b/>
      <sz val="10.5"/>
      <color rgb="FFFFFFFF"/>
      <name val="Montserrat"/>
      <family val="3"/>
      <scheme val="major"/>
    </font>
    <font>
      <sz val="10"/>
      <color theme="1"/>
      <name val="Montserrat SemiBold"/>
      <family val="3"/>
    </font>
    <font>
      <b/>
      <sz val="11"/>
      <color rgb="FFFFFFFF"/>
      <name val="Montserrat SemiBold"/>
      <family val="3"/>
    </font>
    <font>
      <b/>
      <sz val="16"/>
      <color rgb="FFE73088"/>
      <name val="Montserrat"/>
      <family val="3"/>
      <scheme val="major"/>
    </font>
    <font>
      <sz val="10.5"/>
      <name val="Montserrat SemiBold"/>
      <family val="3"/>
    </font>
    <font>
      <sz val="10.5"/>
      <color theme="1"/>
      <name val="Montserrat SemiBold"/>
      <family val="1"/>
      <charset val="2"/>
    </font>
    <font>
      <b/>
      <i/>
      <sz val="9"/>
      <color theme="1"/>
      <name val="Montserrat"/>
      <family val="3"/>
      <scheme val="major"/>
    </font>
    <font>
      <sz val="9"/>
      <color theme="1"/>
      <name val="Montserrat SemiBold"/>
      <family val="3"/>
    </font>
    <font>
      <sz val="10.5"/>
      <name val="Montserrat SemiBold"/>
      <family val="1"/>
      <charset val="2"/>
    </font>
    <font>
      <sz val="10.5"/>
      <name val="Webdings"/>
      <family val="1"/>
      <charset val="2"/>
    </font>
    <font>
      <sz val="9.5"/>
      <color theme="1"/>
      <name val="Montserrat SemiBold"/>
      <family val="3"/>
    </font>
    <font>
      <b/>
      <sz val="12"/>
      <color rgb="FFE73088"/>
      <name val="Montserrat SemiBold"/>
      <family val="3"/>
    </font>
    <font>
      <b/>
      <sz val="16"/>
      <color theme="3"/>
      <name val="Montserrat"/>
      <family val="3"/>
      <scheme val="major"/>
    </font>
    <font>
      <sz val="11"/>
      <color rgb="FFFFFFFF"/>
      <name val="Montserrat SemiBold"/>
      <family val="3"/>
    </font>
    <font>
      <b/>
      <sz val="10.5"/>
      <color theme="2" tint="-0.249977111117893"/>
      <name val="Montserrat"/>
      <family val="3"/>
      <scheme val="major"/>
    </font>
    <font>
      <b/>
      <vertAlign val="subscript"/>
      <sz val="10.5"/>
      <color theme="2" tint="-0.249977111117893"/>
      <name val="Montserrat"/>
      <family val="3"/>
      <scheme val="major"/>
    </font>
    <font>
      <b/>
      <vertAlign val="subscript"/>
      <sz val="10.5"/>
      <color theme="2" tint="-0.24994659260841701"/>
      <name val="Montserrat"/>
      <family val="3"/>
      <scheme val="major"/>
    </font>
    <font>
      <b/>
      <sz val="20"/>
      <color theme="1"/>
      <name val="Montserrat"/>
      <family val="3"/>
      <scheme val="major"/>
    </font>
    <font>
      <b/>
      <vertAlign val="superscript"/>
      <sz val="10.5"/>
      <color theme="1"/>
      <name val="Montserrat"/>
      <family val="3"/>
      <scheme val="major"/>
    </font>
    <font>
      <b/>
      <sz val="11"/>
      <color rgb="FFFFFFFF"/>
      <name val="Montserrat"/>
      <family val="3"/>
      <scheme val="major"/>
    </font>
    <font>
      <b/>
      <i/>
      <sz val="11"/>
      <color rgb="FFFFFFFF"/>
      <name val="Montserrat"/>
      <family val="3"/>
      <scheme val="major"/>
    </font>
    <font>
      <b/>
      <sz val="10"/>
      <color theme="1"/>
      <name val="Montserrat"/>
      <family val="3"/>
      <scheme val="major"/>
    </font>
    <font>
      <b/>
      <sz val="9"/>
      <name val="Montserrat"/>
      <family val="3"/>
      <scheme val="major"/>
    </font>
    <font>
      <b/>
      <sz val="9"/>
      <color theme="1"/>
      <name val="Montserrat"/>
      <family val="3"/>
      <scheme val="major"/>
    </font>
    <font>
      <b/>
      <sz val="16"/>
      <color theme="2" tint="-0.249977111117893"/>
      <name val="Montserrat"/>
      <family val="3"/>
      <scheme val="major"/>
    </font>
    <font>
      <b/>
      <sz val="10.5"/>
      <color theme="4" tint="-0.499984740745262"/>
      <name val="Montserrat"/>
      <family val="3"/>
      <scheme val="major"/>
    </font>
    <font>
      <sz val="14"/>
      <color theme="8" tint="-0.499984740745262"/>
      <name val="Montserrat SemiBold"/>
      <family val="3"/>
    </font>
    <font>
      <sz val="10.5"/>
      <color theme="8" tint="-0.499984740745262"/>
      <name val="Montserrat SemiBold"/>
      <family val="3"/>
    </font>
    <font>
      <i/>
      <sz val="10.5"/>
      <color theme="8" tint="-0.499984740745262"/>
      <name val="Montserrat SemiBold"/>
      <family val="3"/>
    </font>
    <font>
      <sz val="16"/>
      <name val="Webdings"/>
      <family val="1"/>
      <charset val="2"/>
    </font>
    <font>
      <b/>
      <sz val="10.5"/>
      <color rgb="FFFF0000"/>
      <name val="Montserrat SemiBold"/>
      <family val="3"/>
    </font>
    <font>
      <b/>
      <sz val="10.5"/>
      <name val="Montserrat SemiBold"/>
      <family val="3"/>
    </font>
    <font>
      <b/>
      <sz val="10.5"/>
      <color rgb="FFFFFFFF"/>
      <name val="Montserrat SemiBold"/>
      <family val="3"/>
    </font>
    <font>
      <sz val="10"/>
      <color rgb="FFFFFFFF"/>
      <name val="Montserrat SemiBold"/>
      <family val="3"/>
    </font>
    <font>
      <b/>
      <sz val="10"/>
      <color rgb="FFFFFFFF"/>
      <name val="Montserrat SemiBold"/>
      <family val="3"/>
    </font>
    <font>
      <b/>
      <i/>
      <sz val="10.5"/>
      <color theme="1"/>
      <name val="Montserrat SemiBold"/>
      <family val="3"/>
    </font>
    <font>
      <b/>
      <u/>
      <sz val="10.5"/>
      <name val="Montserrat"/>
      <family val="3"/>
    </font>
    <font>
      <b/>
      <sz val="10.5"/>
      <name val="Montserrat"/>
      <family val="3"/>
    </font>
    <font>
      <b/>
      <u/>
      <sz val="10.5"/>
      <color rgb="FFE73088"/>
      <name val="Montserrat"/>
      <family val="3"/>
    </font>
    <font>
      <b/>
      <sz val="10.5"/>
      <color rgb="FFE73088"/>
      <name val="Montserrat"/>
      <family val="3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9.9978637043366805E-2"/>
        <bgColor indexed="64"/>
      </patternFill>
    </fill>
    <fill>
      <patternFill patternType="solid">
        <fgColor rgb="FFB6D7FF"/>
        <bgColor indexed="64"/>
      </patternFill>
    </fill>
    <fill>
      <patternFill patternType="solid">
        <fgColor rgb="FF81C8A6"/>
        <bgColor indexed="64"/>
      </patternFill>
    </fill>
    <fill>
      <patternFill patternType="lightUp">
        <fgColor theme="0" tint="-0.24994659260841701"/>
        <bgColor indexed="65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7FC6A4"/>
        <bgColor indexed="64"/>
      </patternFill>
    </fill>
    <fill>
      <patternFill patternType="solid">
        <fgColor rgb="FFB1D6A9"/>
        <bgColor indexed="64"/>
      </patternFill>
    </fill>
    <fill>
      <patternFill patternType="solid">
        <fgColor rgb="FF818284"/>
        <bgColor indexed="64"/>
      </patternFill>
    </fill>
    <fill>
      <patternFill patternType="solid">
        <fgColor rgb="FFFCBB79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B8DAF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E73088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D7CC"/>
        <bgColor indexed="64"/>
      </patternFill>
    </fill>
    <fill>
      <patternFill patternType="solid">
        <fgColor theme="6" tint="0.79998168889431442"/>
        <bgColor indexed="64"/>
      </patternFill>
    </fill>
  </fills>
  <borders count="1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theme="3" tint="9.9978637043366805E-2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theme="3"/>
      </left>
      <right/>
      <top style="thick">
        <color theme="3"/>
      </top>
      <bottom/>
      <diagonal/>
    </border>
    <border>
      <left/>
      <right/>
      <top style="thick">
        <color theme="3"/>
      </top>
      <bottom/>
      <diagonal/>
    </border>
    <border>
      <left style="thick">
        <color theme="3"/>
      </left>
      <right/>
      <top/>
      <bottom/>
      <diagonal/>
    </border>
    <border>
      <left style="thick">
        <color theme="3"/>
      </left>
      <right/>
      <top/>
      <bottom style="thick">
        <color theme="3"/>
      </bottom>
      <diagonal/>
    </border>
    <border>
      <left/>
      <right/>
      <top/>
      <bottom style="thick">
        <color theme="3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theme="7" tint="-0.499984740745262"/>
      </left>
      <right/>
      <top/>
      <bottom style="medium">
        <color indexed="64"/>
      </bottom>
      <diagonal/>
    </border>
    <border>
      <left/>
      <right style="thin">
        <color theme="7" tint="-0.499984740745262"/>
      </right>
      <top/>
      <bottom style="medium">
        <color indexed="64"/>
      </bottom>
      <diagonal/>
    </border>
    <border>
      <left style="thin">
        <color theme="7" tint="-0.499984740745262"/>
      </left>
      <right/>
      <top style="medium">
        <color indexed="64"/>
      </top>
      <bottom style="thin">
        <color indexed="64"/>
      </bottom>
      <diagonal/>
    </border>
    <border>
      <left/>
      <right style="thick">
        <color theme="3"/>
      </right>
      <top/>
      <bottom/>
      <diagonal/>
    </border>
    <border>
      <left style="medium">
        <color indexed="64"/>
      </left>
      <right/>
      <top style="thin">
        <color theme="7" tint="-0.499984740745262"/>
      </top>
      <bottom style="medium">
        <color indexed="64"/>
      </bottom>
      <diagonal/>
    </border>
    <border>
      <left/>
      <right/>
      <top style="thin">
        <color theme="7" tint="-0.499984740745262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theme="3" tint="9.9978637043366805E-2"/>
      </bottom>
      <diagonal/>
    </border>
    <border>
      <left style="medium">
        <color indexed="64"/>
      </left>
      <right/>
      <top style="medium">
        <color indexed="64"/>
      </top>
      <bottom style="thin">
        <color theme="3" tint="9.9978637043366805E-2"/>
      </bottom>
      <diagonal/>
    </border>
    <border>
      <left/>
      <right/>
      <top style="medium">
        <color indexed="64"/>
      </top>
      <bottom style="thin">
        <color theme="3" tint="9.9978637043366805E-2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theme="3"/>
      </right>
      <top/>
      <bottom/>
      <diagonal/>
    </border>
    <border>
      <left/>
      <right style="medium">
        <color theme="3" tint="9.9978637043366805E-2"/>
      </right>
      <top style="thick">
        <color theme="3"/>
      </top>
      <bottom/>
      <diagonal/>
    </border>
    <border>
      <left/>
      <right style="medium">
        <color theme="3" tint="9.9978637043366805E-2"/>
      </right>
      <top/>
      <bottom style="thick">
        <color theme="3"/>
      </bottom>
      <diagonal/>
    </border>
    <border>
      <left style="medium">
        <color theme="3" tint="9.9978637043366805E-2"/>
      </left>
      <right style="thick">
        <color theme="3"/>
      </right>
      <top style="thick">
        <color theme="3"/>
      </top>
      <bottom/>
      <diagonal/>
    </border>
    <border>
      <left style="medium">
        <color theme="3" tint="9.9978637043366805E-2"/>
      </left>
      <right style="thick">
        <color theme="3"/>
      </right>
      <top/>
      <bottom/>
      <diagonal/>
    </border>
    <border>
      <left style="medium">
        <color theme="3" tint="9.9978637043366805E-2"/>
      </left>
      <right style="thick">
        <color theme="3"/>
      </right>
      <top/>
      <bottom style="thick">
        <color theme="3"/>
      </bottom>
      <diagonal/>
    </border>
    <border>
      <left style="medium">
        <color theme="3"/>
      </left>
      <right/>
      <top style="medium">
        <color theme="3"/>
      </top>
      <bottom style="medium">
        <color theme="3"/>
      </bottom>
      <diagonal/>
    </border>
    <border>
      <left/>
      <right/>
      <top style="medium">
        <color theme="3"/>
      </top>
      <bottom style="medium">
        <color theme="3"/>
      </bottom>
      <diagonal/>
    </border>
    <border>
      <left style="medium">
        <color indexed="64"/>
      </left>
      <right style="medium">
        <color theme="3"/>
      </right>
      <top style="medium">
        <color theme="3"/>
      </top>
      <bottom style="medium">
        <color theme="3"/>
      </bottom>
      <diagonal/>
    </border>
    <border>
      <left style="thin">
        <color indexed="64"/>
      </left>
      <right style="thin">
        <color indexed="64"/>
      </right>
      <top style="medium">
        <color theme="3"/>
      </top>
      <bottom style="thin">
        <color theme="3"/>
      </bottom>
      <diagonal/>
    </border>
    <border>
      <left style="thin">
        <color indexed="64"/>
      </left>
      <right/>
      <top style="medium">
        <color theme="3"/>
      </top>
      <bottom style="thin">
        <color theme="3"/>
      </bottom>
      <diagonal/>
    </border>
    <border>
      <left/>
      <right/>
      <top style="medium">
        <color theme="3"/>
      </top>
      <bottom style="thin">
        <color theme="3"/>
      </bottom>
      <diagonal/>
    </border>
    <border>
      <left/>
      <right style="thin">
        <color indexed="64"/>
      </right>
      <top style="medium">
        <color indexed="64"/>
      </top>
      <bottom style="medium">
        <color theme="3"/>
      </bottom>
      <diagonal/>
    </border>
    <border>
      <left/>
      <right style="medium">
        <color theme="3"/>
      </right>
      <top style="medium">
        <color theme="3"/>
      </top>
      <bottom style="medium">
        <color theme="3"/>
      </bottom>
      <diagonal/>
    </border>
    <border>
      <left style="medium">
        <color theme="3"/>
      </left>
      <right/>
      <top style="medium">
        <color theme="3"/>
      </top>
      <bottom style="thin">
        <color theme="3"/>
      </bottom>
      <diagonal/>
    </border>
    <border>
      <left/>
      <right style="medium">
        <color theme="3"/>
      </right>
      <top style="medium">
        <color theme="3"/>
      </top>
      <bottom style="thin">
        <color theme="3"/>
      </bottom>
      <diagonal/>
    </border>
    <border>
      <left/>
      <right/>
      <top style="medium">
        <color indexed="64"/>
      </top>
      <bottom style="medium">
        <color theme="3"/>
      </bottom>
      <diagonal/>
    </border>
    <border>
      <left style="medium">
        <color theme="3"/>
      </left>
      <right style="medium">
        <color theme="3"/>
      </right>
      <top/>
      <bottom style="thin">
        <color indexed="64"/>
      </bottom>
      <diagonal/>
    </border>
    <border>
      <left style="medium">
        <color theme="3"/>
      </left>
      <right style="medium">
        <color theme="3"/>
      </right>
      <top style="medium">
        <color indexed="64"/>
      </top>
      <bottom style="medium">
        <color theme="3"/>
      </bottom>
      <diagonal/>
    </border>
    <border>
      <left style="medium">
        <color theme="3"/>
      </left>
      <right style="thin">
        <color indexed="64"/>
      </right>
      <top style="medium">
        <color theme="3"/>
      </top>
      <bottom style="thin">
        <color theme="3"/>
      </bottom>
      <diagonal/>
    </border>
    <border>
      <left style="medium">
        <color indexed="64"/>
      </left>
      <right style="medium">
        <color theme="3"/>
      </right>
      <top style="medium">
        <color theme="3"/>
      </top>
      <bottom style="thin">
        <color theme="3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theme="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3"/>
      </bottom>
      <diagonal/>
    </border>
    <border>
      <left style="thin">
        <color indexed="64"/>
      </left>
      <right/>
      <top style="thin">
        <color indexed="64"/>
      </top>
      <bottom style="thin">
        <color theme="3"/>
      </bottom>
      <diagonal/>
    </border>
    <border>
      <left/>
      <right/>
      <top style="thin">
        <color indexed="64"/>
      </top>
      <bottom style="thin">
        <color theme="3"/>
      </bottom>
      <diagonal/>
    </border>
    <border>
      <left style="medium">
        <color indexed="64"/>
      </left>
      <right style="medium">
        <color indexed="64"/>
      </right>
      <top/>
      <bottom style="thin">
        <color theme="3"/>
      </bottom>
      <diagonal/>
    </border>
    <border>
      <left/>
      <right style="thin">
        <color theme="7" tint="-0.499984740745262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/>
      <bottom style="thin">
        <color indexed="64"/>
      </bottom>
      <diagonal/>
    </border>
    <border>
      <left/>
      <right style="thin">
        <color theme="3"/>
      </right>
      <top style="medium">
        <color indexed="64"/>
      </top>
      <bottom style="medium">
        <color theme="3"/>
      </bottom>
      <diagonal/>
    </border>
    <border>
      <left style="medium">
        <color theme="3"/>
      </left>
      <right/>
      <top style="medium">
        <color theme="3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FF99FF"/>
      </left>
      <right/>
      <top style="medium">
        <color rgb="FFFF99FF"/>
      </top>
      <bottom style="medium">
        <color rgb="FFFF99FF"/>
      </bottom>
      <diagonal/>
    </border>
    <border>
      <left/>
      <right style="medium">
        <color rgb="FFFF99FF"/>
      </right>
      <top style="medium">
        <color rgb="FFFF99FF"/>
      </top>
      <bottom style="medium">
        <color rgb="FFFF99FF"/>
      </bottom>
      <diagonal/>
    </border>
    <border>
      <left style="medium">
        <color rgb="FF9933FF"/>
      </left>
      <right/>
      <top style="medium">
        <color rgb="FF9933FF"/>
      </top>
      <bottom style="medium">
        <color rgb="FF9933FF"/>
      </bottom>
      <diagonal/>
    </border>
    <border>
      <left/>
      <right style="medium">
        <color rgb="FF9933FF"/>
      </right>
      <top style="medium">
        <color rgb="FF9933FF"/>
      </top>
      <bottom style="medium">
        <color rgb="FF9933FF"/>
      </bottom>
      <diagonal/>
    </border>
    <border>
      <left/>
      <right style="medium">
        <color theme="3"/>
      </right>
      <top style="medium">
        <color theme="3"/>
      </top>
      <bottom style="thin">
        <color indexed="64"/>
      </bottom>
      <diagonal/>
    </border>
    <border>
      <left/>
      <right style="medium">
        <color theme="3"/>
      </right>
      <top style="thin">
        <color indexed="64"/>
      </top>
      <bottom style="thin">
        <color indexed="64"/>
      </bottom>
      <diagonal/>
    </border>
    <border>
      <left style="medium">
        <color theme="3"/>
      </left>
      <right style="thin">
        <color indexed="64"/>
      </right>
      <top/>
      <bottom style="thin">
        <color theme="3"/>
      </bottom>
      <diagonal/>
    </border>
    <border>
      <left style="thin">
        <color indexed="64"/>
      </left>
      <right style="thin">
        <color indexed="64"/>
      </right>
      <top/>
      <bottom style="thin">
        <color theme="3"/>
      </bottom>
      <diagonal/>
    </border>
    <border>
      <left style="thin">
        <color indexed="64"/>
      </left>
      <right/>
      <top/>
      <bottom style="thin">
        <color theme="3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theme="3"/>
      </right>
      <top style="medium">
        <color theme="3"/>
      </top>
      <bottom/>
      <diagonal/>
    </border>
    <border>
      <left style="thin">
        <color indexed="64"/>
      </left>
      <right style="thin">
        <color indexed="64"/>
      </right>
      <top style="medium">
        <color theme="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theme="3"/>
      </bottom>
      <diagonal/>
    </border>
    <border>
      <left style="thick">
        <color theme="3"/>
      </left>
      <right style="thick">
        <color theme="3"/>
      </right>
      <top style="thick">
        <color theme="3"/>
      </top>
      <bottom/>
      <diagonal/>
    </border>
    <border>
      <left style="thick">
        <color theme="3"/>
      </left>
      <right style="thick">
        <color theme="3"/>
      </right>
      <top/>
      <bottom/>
      <diagonal/>
    </border>
    <border>
      <left style="thick">
        <color theme="3"/>
      </left>
      <right style="thick">
        <color theme="3"/>
      </right>
      <top/>
      <bottom style="thick">
        <color theme="3"/>
      </bottom>
      <diagonal/>
    </border>
    <border>
      <left/>
      <right style="thick">
        <color theme="3"/>
      </right>
      <top style="thick">
        <color theme="3"/>
      </top>
      <bottom/>
      <diagonal/>
    </border>
    <border>
      <left/>
      <right style="thick">
        <color theme="3"/>
      </right>
      <top/>
      <bottom style="thick">
        <color theme="3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605">
    <xf numFmtId="0" fontId="0" fillId="0" borderId="0" xfId="0"/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9" fillId="0" borderId="0" xfId="0" applyFont="1"/>
    <xf numFmtId="0" fontId="21" fillId="5" borderId="1" xfId="0" applyFont="1" applyFill="1" applyBorder="1" applyAlignment="1">
      <alignment horizontal="center" vertical="center"/>
    </xf>
    <xf numFmtId="0" fontId="21" fillId="6" borderId="1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22" fillId="0" borderId="0" xfId="0" applyFont="1" applyAlignment="1">
      <alignment vertical="center"/>
    </xf>
    <xf numFmtId="0" fontId="5" fillId="10" borderId="1" xfId="0" applyFont="1" applyFill="1" applyBorder="1" applyAlignment="1">
      <alignment horizontal="center" vertical="center" wrapText="1"/>
    </xf>
    <xf numFmtId="0" fontId="5" fillId="11" borderId="1" xfId="0" applyFont="1" applyFill="1" applyBorder="1" applyAlignment="1">
      <alignment horizontal="center" vertical="center" wrapText="1"/>
    </xf>
    <xf numFmtId="0" fontId="5" fillId="12" borderId="1" xfId="0" applyFont="1" applyFill="1" applyBorder="1" applyAlignment="1">
      <alignment horizontal="center" vertical="center" wrapText="1"/>
    </xf>
    <xf numFmtId="3" fontId="2" fillId="8" borderId="1" xfId="0" applyNumberFormat="1" applyFont="1" applyFill="1" applyBorder="1" applyAlignment="1">
      <alignment horizontal="center" vertical="center"/>
    </xf>
    <xf numFmtId="3" fontId="2" fillId="8" borderId="19" xfId="0" applyNumberFormat="1" applyFont="1" applyFill="1" applyBorder="1" applyAlignment="1">
      <alignment horizontal="center" vertical="center"/>
    </xf>
    <xf numFmtId="3" fontId="2" fillId="8" borderId="6" xfId="0" applyNumberFormat="1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3" fontId="5" fillId="4" borderId="8" xfId="0" applyNumberFormat="1" applyFont="1" applyFill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/>
    </xf>
    <xf numFmtId="3" fontId="5" fillId="4" borderId="25" xfId="0" applyNumberFormat="1" applyFont="1" applyFill="1" applyBorder="1" applyAlignment="1">
      <alignment horizontal="center" vertical="center"/>
    </xf>
    <xf numFmtId="3" fontId="5" fillId="4" borderId="26" xfId="0" applyNumberFormat="1" applyFont="1" applyFill="1" applyBorder="1" applyAlignment="1">
      <alignment horizontal="center" vertical="center"/>
    </xf>
    <xf numFmtId="0" fontId="2" fillId="0" borderId="21" xfId="0" applyFont="1" applyBorder="1" applyAlignment="1">
      <alignment horizontal="left" vertical="center" indent="1"/>
    </xf>
    <xf numFmtId="0" fontId="5" fillId="0" borderId="36" xfId="0" applyFont="1" applyBorder="1" applyAlignment="1">
      <alignment horizontal="center" vertical="center"/>
    </xf>
    <xf numFmtId="3" fontId="2" fillId="8" borderId="46" xfId="0" applyNumberFormat="1" applyFont="1" applyFill="1" applyBorder="1" applyAlignment="1">
      <alignment horizontal="center" vertical="center"/>
    </xf>
    <xf numFmtId="3" fontId="2" fillId="8" borderId="38" xfId="0" applyNumberFormat="1" applyFont="1" applyFill="1" applyBorder="1" applyAlignment="1">
      <alignment horizontal="center" vertical="center"/>
    </xf>
    <xf numFmtId="3" fontId="2" fillId="8" borderId="36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48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40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4" xfId="0" applyFont="1" applyBorder="1" applyAlignment="1">
      <alignment horizontal="right" vertical="center" indent="1"/>
    </xf>
    <xf numFmtId="0" fontId="15" fillId="0" borderId="30" xfId="0" applyFont="1" applyBorder="1" applyAlignment="1">
      <alignment vertical="center"/>
    </xf>
    <xf numFmtId="0" fontId="15" fillId="0" borderId="44" xfId="0" applyFont="1" applyBorder="1" applyAlignment="1">
      <alignment horizontal="right" vertical="center" indent="1"/>
    </xf>
    <xf numFmtId="0" fontId="15" fillId="0" borderId="47" xfId="0" applyFont="1" applyBorder="1" applyAlignment="1">
      <alignment horizontal="left" vertical="center" indent="1"/>
    </xf>
    <xf numFmtId="0" fontId="15" fillId="0" borderId="9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right" vertical="center" indent="1"/>
    </xf>
    <xf numFmtId="0" fontId="2" fillId="0" borderId="53" xfId="0" applyFont="1" applyBorder="1" applyAlignment="1">
      <alignment horizontal="left" vertical="center" indent="1"/>
    </xf>
    <xf numFmtId="0" fontId="2" fillId="0" borderId="16" xfId="0" applyFont="1" applyBorder="1" applyAlignment="1">
      <alignment horizontal="center" vertical="center"/>
    </xf>
    <xf numFmtId="0" fontId="2" fillId="0" borderId="35" xfId="0" applyFont="1" applyBorder="1" applyAlignment="1">
      <alignment vertical="center"/>
    </xf>
    <xf numFmtId="0" fontId="2" fillId="0" borderId="18" xfId="0" applyFont="1" applyBorder="1" applyAlignment="1">
      <alignment horizontal="right" vertical="center" indent="1"/>
    </xf>
    <xf numFmtId="0" fontId="2" fillId="0" borderId="54" xfId="0" applyFont="1" applyBorder="1" applyAlignment="1">
      <alignment horizontal="left" vertical="center" indent="1"/>
    </xf>
    <xf numFmtId="0" fontId="2" fillId="0" borderId="2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5" xfId="0" applyFont="1" applyBorder="1" applyAlignment="1">
      <alignment horizontal="left" vertical="center" indent="1"/>
    </xf>
    <xf numFmtId="0" fontId="2" fillId="0" borderId="16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38" xfId="0" applyFont="1" applyBorder="1" applyAlignment="1">
      <alignment vertical="center"/>
    </xf>
    <xf numFmtId="0" fontId="2" fillId="0" borderId="36" xfId="0" applyFont="1" applyBorder="1" applyAlignment="1">
      <alignment vertical="center"/>
    </xf>
    <xf numFmtId="164" fontId="2" fillId="3" borderId="17" xfId="0" applyNumberFormat="1" applyFont="1" applyFill="1" applyBorder="1" applyAlignment="1">
      <alignment horizontal="center" vertical="center"/>
    </xf>
    <xf numFmtId="1" fontId="2" fillId="3" borderId="6" xfId="0" applyNumberFormat="1" applyFont="1" applyFill="1" applyBorder="1" applyAlignment="1">
      <alignment horizontal="center" vertical="center"/>
    </xf>
    <xf numFmtId="164" fontId="2" fillId="3" borderId="29" xfId="0" applyNumberFormat="1" applyFont="1" applyFill="1" applyBorder="1" applyAlignment="1">
      <alignment horizontal="center" vertical="center"/>
    </xf>
    <xf numFmtId="11" fontId="2" fillId="0" borderId="6" xfId="0" applyNumberFormat="1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1" fontId="5" fillId="4" borderId="44" xfId="0" applyNumberFormat="1" applyFont="1" applyFill="1" applyBorder="1" applyAlignment="1">
      <alignment horizontal="center" vertical="center"/>
    </xf>
    <xf numFmtId="0" fontId="2" fillId="4" borderId="9" xfId="0" quotePrefix="1" applyFont="1" applyFill="1" applyBorder="1" applyAlignment="1">
      <alignment horizontal="center" vertical="center"/>
    </xf>
    <xf numFmtId="0" fontId="2" fillId="4" borderId="8" xfId="0" quotePrefix="1" applyFont="1" applyFill="1" applyBorder="1" applyAlignment="1">
      <alignment horizontal="center" vertical="center"/>
    </xf>
    <xf numFmtId="165" fontId="5" fillId="4" borderId="9" xfId="0" applyNumberFormat="1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63" xfId="0" applyFont="1" applyBorder="1" applyAlignment="1">
      <alignment horizontal="left" vertical="center" indent="1"/>
    </xf>
    <xf numFmtId="0" fontId="2" fillId="0" borderId="6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11" borderId="21" xfId="0" applyFont="1" applyFill="1" applyBorder="1" applyAlignment="1">
      <alignment horizontal="center" vertical="center" wrapText="1"/>
    </xf>
    <xf numFmtId="0" fontId="5" fillId="0" borderId="54" xfId="0" applyFont="1" applyBorder="1" applyAlignment="1">
      <alignment horizontal="center" vertical="center"/>
    </xf>
    <xf numFmtId="3" fontId="2" fillId="8" borderId="66" xfId="0" applyNumberFormat="1" applyFont="1" applyFill="1" applyBorder="1" applyAlignment="1">
      <alignment horizontal="center" vertical="center"/>
    </xf>
    <xf numFmtId="3" fontId="2" fillId="8" borderId="21" xfId="0" applyNumberFormat="1" applyFont="1" applyFill="1" applyBorder="1" applyAlignment="1">
      <alignment horizontal="center" vertical="center"/>
    </xf>
    <xf numFmtId="3" fontId="2" fillId="8" borderId="54" xfId="0" applyNumberFormat="1" applyFont="1" applyFill="1" applyBorder="1" applyAlignment="1">
      <alignment horizontal="center" vertical="center"/>
    </xf>
    <xf numFmtId="3" fontId="5" fillId="4" borderId="63" xfId="0" applyNumberFormat="1" applyFont="1" applyFill="1" applyBorder="1" applyAlignment="1">
      <alignment horizontal="center" vertical="center"/>
    </xf>
    <xf numFmtId="0" fontId="5" fillId="14" borderId="39" xfId="0" applyFont="1" applyFill="1" applyBorder="1" applyAlignment="1">
      <alignment horizontal="center" vertical="center"/>
    </xf>
    <xf numFmtId="0" fontId="5" fillId="14" borderId="37" xfId="0" applyFont="1" applyFill="1" applyBorder="1" applyAlignment="1">
      <alignment horizontal="center" vertical="center"/>
    </xf>
    <xf numFmtId="0" fontId="5" fillId="14" borderId="37" xfId="0" applyFont="1" applyFill="1" applyBorder="1" applyAlignment="1">
      <alignment horizontal="center" vertical="center" wrapText="1"/>
    </xf>
    <xf numFmtId="0" fontId="5" fillId="14" borderId="34" xfId="0" applyFont="1" applyFill="1" applyBorder="1" applyAlignment="1">
      <alignment horizontal="center" vertical="center"/>
    </xf>
    <xf numFmtId="3" fontId="2" fillId="8" borderId="5" xfId="0" applyNumberFormat="1" applyFont="1" applyFill="1" applyBorder="1" applyAlignment="1">
      <alignment horizontal="center" vertical="center"/>
    </xf>
    <xf numFmtId="3" fontId="2" fillId="8" borderId="4" xfId="0" applyNumberFormat="1" applyFont="1" applyFill="1" applyBorder="1" applyAlignment="1">
      <alignment horizontal="center" vertical="center"/>
    </xf>
    <xf numFmtId="3" fontId="2" fillId="8" borderId="18" xfId="0" applyNumberFormat="1" applyFont="1" applyFill="1" applyBorder="1" applyAlignment="1">
      <alignment horizontal="center" vertical="center"/>
    </xf>
    <xf numFmtId="0" fontId="5" fillId="9" borderId="4" xfId="0" applyFont="1" applyFill="1" applyBorder="1" applyAlignment="1">
      <alignment horizontal="center" vertical="center" wrapText="1"/>
    </xf>
    <xf numFmtId="0" fontId="3" fillId="0" borderId="31" xfId="0" applyFont="1" applyBorder="1" applyAlignment="1">
      <alignment horizontal="left" vertical="center" indent="1"/>
    </xf>
    <xf numFmtId="0" fontId="3" fillId="0" borderId="32" xfId="0" applyFont="1" applyBorder="1" applyAlignment="1">
      <alignment horizontal="left" vertical="center" indent="1"/>
    </xf>
    <xf numFmtId="0" fontId="3" fillId="0" borderId="50" xfId="0" applyFont="1" applyBorder="1" applyAlignment="1">
      <alignment horizontal="left" vertical="center" indent="1"/>
    </xf>
    <xf numFmtId="0" fontId="3" fillId="0" borderId="69" xfId="0" applyFont="1" applyBorder="1" applyAlignment="1">
      <alignment horizontal="left" vertical="center" indent="1"/>
    </xf>
    <xf numFmtId="0" fontId="2" fillId="0" borderId="50" xfId="0" applyFont="1" applyBorder="1" applyAlignment="1">
      <alignment vertical="center"/>
    </xf>
    <xf numFmtId="164" fontId="2" fillId="3" borderId="28" xfId="0" applyNumberFormat="1" applyFont="1" applyFill="1" applyBorder="1" applyAlignment="1">
      <alignment horizontal="center" vertical="center"/>
    </xf>
    <xf numFmtId="164" fontId="2" fillId="3" borderId="5" xfId="0" applyNumberFormat="1" applyFont="1" applyFill="1" applyBorder="1" applyAlignment="1">
      <alignment horizontal="center" vertical="center"/>
    </xf>
    <xf numFmtId="164" fontId="2" fillId="3" borderId="4" xfId="0" applyNumberFormat="1" applyFont="1" applyFill="1" applyBorder="1" applyAlignment="1">
      <alignment horizontal="center" vertical="center"/>
    </xf>
    <xf numFmtId="164" fontId="5" fillId="4" borderId="44" xfId="0" applyNumberFormat="1" applyFont="1" applyFill="1" applyBorder="1" applyAlignment="1">
      <alignment horizontal="center" vertical="center"/>
    </xf>
    <xf numFmtId="3" fontId="5" fillId="4" borderId="9" xfId="0" applyNumberFormat="1" applyFont="1" applyFill="1" applyBorder="1" applyAlignment="1">
      <alignment horizontal="center" vertical="center"/>
    </xf>
    <xf numFmtId="0" fontId="3" fillId="0" borderId="51" xfId="0" applyFont="1" applyBorder="1" applyAlignment="1">
      <alignment horizontal="left" vertical="center" indent="1"/>
    </xf>
    <xf numFmtId="0" fontId="5" fillId="4" borderId="11" xfId="0" applyFont="1" applyFill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1" fontId="15" fillId="0" borderId="0" xfId="0" applyNumberFormat="1" applyFont="1" applyAlignment="1">
      <alignment horizontal="center" vertical="center"/>
    </xf>
    <xf numFmtId="0" fontId="2" fillId="9" borderId="40" xfId="0" applyFont="1" applyFill="1" applyBorder="1" applyAlignment="1">
      <alignment vertical="center"/>
    </xf>
    <xf numFmtId="0" fontId="2" fillId="10" borderId="33" xfId="0" applyFont="1" applyFill="1" applyBorder="1" applyAlignment="1">
      <alignment vertical="center"/>
    </xf>
    <xf numFmtId="0" fontId="2" fillId="12" borderId="33" xfId="0" applyFont="1" applyFill="1" applyBorder="1" applyAlignment="1">
      <alignment vertical="center"/>
    </xf>
    <xf numFmtId="0" fontId="15" fillId="12" borderId="1" xfId="0" applyFont="1" applyFill="1" applyBorder="1" applyAlignment="1">
      <alignment horizontal="center" vertical="center" wrapText="1"/>
    </xf>
    <xf numFmtId="0" fontId="15" fillId="10" borderId="1" xfId="0" applyFont="1" applyFill="1" applyBorder="1" applyAlignment="1">
      <alignment horizontal="center" vertical="center" wrapText="1"/>
    </xf>
    <xf numFmtId="0" fontId="2" fillId="0" borderId="37" xfId="0" applyFont="1" applyBorder="1" applyAlignment="1">
      <alignment horizontal="left" vertical="center" indent="1"/>
    </xf>
    <xf numFmtId="0" fontId="2" fillId="0" borderId="34" xfId="0" applyFont="1" applyBorder="1" applyAlignment="1">
      <alignment horizontal="left" vertical="center" indent="1"/>
    </xf>
    <xf numFmtId="0" fontId="2" fillId="0" borderId="61" xfId="0" applyFont="1" applyBorder="1" applyAlignment="1">
      <alignment horizontal="left" vertical="center" indent="1"/>
    </xf>
    <xf numFmtId="0" fontId="2" fillId="0" borderId="46" xfId="0" applyFont="1" applyBorder="1" applyAlignment="1">
      <alignment vertical="center"/>
    </xf>
    <xf numFmtId="0" fontId="15" fillId="0" borderId="48" xfId="0" applyFont="1" applyBorder="1" applyAlignment="1">
      <alignment horizontal="right" vertical="center" indent="1"/>
    </xf>
    <xf numFmtId="0" fontId="15" fillId="0" borderId="51" xfId="0" applyFont="1" applyBorder="1" applyAlignment="1">
      <alignment horizontal="left" vertical="center" indent="1"/>
    </xf>
    <xf numFmtId="0" fontId="15" fillId="0" borderId="27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2" fillId="0" borderId="51" xfId="0" applyFont="1" applyBorder="1" applyAlignment="1">
      <alignment horizontal="left" vertical="center" indent="1"/>
    </xf>
    <xf numFmtId="3" fontId="2" fillId="0" borderId="4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3" fontId="2" fillId="0" borderId="18" xfId="0" applyNumberFormat="1" applyFont="1" applyBorder="1" applyAlignment="1">
      <alignment horizontal="center" vertical="center"/>
    </xf>
    <xf numFmtId="3" fontId="2" fillId="0" borderId="19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9" fillId="3" borderId="11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9" fillId="4" borderId="51" xfId="0" applyFont="1" applyFill="1" applyBorder="1" applyAlignment="1">
      <alignment horizontal="center" vertical="center"/>
    </xf>
    <xf numFmtId="0" fontId="9" fillId="4" borderId="48" xfId="0" applyFont="1" applyFill="1" applyBorder="1" applyAlignment="1">
      <alignment horizontal="center" vertical="center"/>
    </xf>
    <xf numFmtId="3" fontId="5" fillId="4" borderId="44" xfId="0" applyNumberFormat="1" applyFont="1" applyFill="1" applyBorder="1" applyAlignment="1">
      <alignment horizontal="center" vertical="center"/>
    </xf>
    <xf numFmtId="3" fontId="5" fillId="4" borderId="7" xfId="0" applyNumberFormat="1" applyFont="1" applyFill="1" applyBorder="1" applyAlignment="1">
      <alignment horizontal="center" vertical="center"/>
    </xf>
    <xf numFmtId="0" fontId="9" fillId="3" borderId="27" xfId="0" applyFont="1" applyFill="1" applyBorder="1" applyAlignment="1">
      <alignment horizontal="center" vertical="center"/>
    </xf>
    <xf numFmtId="3" fontId="2" fillId="0" borderId="5" xfId="0" applyNumberFormat="1" applyFont="1" applyBorder="1" applyAlignment="1">
      <alignment horizontal="center" vertical="center"/>
    </xf>
    <xf numFmtId="3" fontId="2" fillId="0" borderId="6" xfId="0" applyNumberFormat="1" applyFont="1" applyBorder="1" applyAlignment="1">
      <alignment horizontal="center" vertical="center"/>
    </xf>
    <xf numFmtId="0" fontId="15" fillId="9" borderId="23" xfId="0" applyFont="1" applyFill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3" fillId="0" borderId="23" xfId="0" applyFont="1" applyBorder="1" applyAlignment="1">
      <alignment horizontal="left" vertical="center" indent="2"/>
    </xf>
    <xf numFmtId="0" fontId="3" fillId="0" borderId="30" xfId="0" applyFont="1" applyBorder="1" applyAlignment="1">
      <alignment vertical="center"/>
    </xf>
    <xf numFmtId="0" fontId="3" fillId="0" borderId="72" xfId="0" applyFont="1" applyBorder="1" applyAlignment="1">
      <alignment horizontal="left" vertical="center" indent="1"/>
    </xf>
    <xf numFmtId="0" fontId="3" fillId="0" borderId="73" xfId="0" applyFont="1" applyBorder="1" applyAlignment="1">
      <alignment horizontal="left" vertical="center" indent="1"/>
    </xf>
    <xf numFmtId="0" fontId="24" fillId="16" borderId="0" xfId="0" applyFont="1" applyFill="1" applyAlignment="1">
      <alignment vertical="center"/>
    </xf>
    <xf numFmtId="0" fontId="1" fillId="16" borderId="0" xfId="0" applyFont="1" applyFill="1" applyAlignment="1">
      <alignment vertical="center"/>
    </xf>
    <xf numFmtId="0" fontId="15" fillId="0" borderId="4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15" fillId="0" borderId="51" xfId="0" applyFont="1" applyBorder="1" applyAlignment="1">
      <alignment vertical="center"/>
    </xf>
    <xf numFmtId="0" fontId="2" fillId="9" borderId="39" xfId="0" applyFont="1" applyFill="1" applyBorder="1" applyAlignment="1">
      <alignment vertical="center"/>
    </xf>
    <xf numFmtId="0" fontId="2" fillId="9" borderId="41" xfId="0" applyFont="1" applyFill="1" applyBorder="1" applyAlignment="1">
      <alignment horizontal="right" vertical="center" indent="1"/>
    </xf>
    <xf numFmtId="0" fontId="2" fillId="10" borderId="37" xfId="0" applyFont="1" applyFill="1" applyBorder="1" applyAlignment="1">
      <alignment vertical="center"/>
    </xf>
    <xf numFmtId="0" fontId="2" fillId="10" borderId="38" xfId="0" applyFont="1" applyFill="1" applyBorder="1" applyAlignment="1">
      <alignment horizontal="right" vertical="center" indent="1"/>
    </xf>
    <xf numFmtId="0" fontId="2" fillId="12" borderId="37" xfId="0" applyFont="1" applyFill="1" applyBorder="1" applyAlignment="1">
      <alignment vertical="center"/>
    </xf>
    <xf numFmtId="0" fontId="2" fillId="12" borderId="38" xfId="0" applyFont="1" applyFill="1" applyBorder="1" applyAlignment="1">
      <alignment horizontal="right" vertical="center" indent="1"/>
    </xf>
    <xf numFmtId="0" fontId="2" fillId="3" borderId="37" xfId="0" applyFont="1" applyFill="1" applyBorder="1" applyAlignment="1">
      <alignment vertical="center"/>
    </xf>
    <xf numFmtId="0" fontId="2" fillId="3" borderId="33" xfId="0" applyFont="1" applyFill="1" applyBorder="1" applyAlignment="1">
      <alignment vertical="center"/>
    </xf>
    <xf numFmtId="0" fontId="2" fillId="3" borderId="38" xfId="0" applyFont="1" applyFill="1" applyBorder="1" applyAlignment="1">
      <alignment horizontal="right" vertical="center" indent="1"/>
    </xf>
    <xf numFmtId="0" fontId="2" fillId="3" borderId="34" xfId="0" applyFont="1" applyFill="1" applyBorder="1" applyAlignment="1">
      <alignment vertical="center"/>
    </xf>
    <xf numFmtId="0" fontId="2" fillId="3" borderId="35" xfId="0" applyFont="1" applyFill="1" applyBorder="1" applyAlignment="1">
      <alignment vertical="center"/>
    </xf>
    <xf numFmtId="0" fontId="2" fillId="3" borderId="36" xfId="0" applyFont="1" applyFill="1" applyBorder="1" applyAlignment="1">
      <alignment horizontal="right" vertical="center" indent="1"/>
    </xf>
    <xf numFmtId="0" fontId="3" fillId="0" borderId="39" xfId="0" applyFont="1" applyBorder="1" applyAlignment="1">
      <alignment horizontal="left" vertical="center" indent="1"/>
    </xf>
    <xf numFmtId="0" fontId="5" fillId="4" borderId="51" xfId="0" applyFont="1" applyFill="1" applyBorder="1" applyAlignment="1">
      <alignment horizontal="left" vertical="center" indent="1"/>
    </xf>
    <xf numFmtId="0" fontId="5" fillId="4" borderId="30" xfId="0" applyFont="1" applyFill="1" applyBorder="1" applyAlignment="1">
      <alignment vertical="center"/>
    </xf>
    <xf numFmtId="0" fontId="2" fillId="4" borderId="51" xfId="0" quotePrefix="1" applyFont="1" applyFill="1" applyBorder="1" applyAlignment="1">
      <alignment horizontal="left" vertical="center" indent="1"/>
    </xf>
    <xf numFmtId="0" fontId="2" fillId="4" borderId="30" xfId="0" applyFont="1" applyFill="1" applyBorder="1" applyAlignment="1">
      <alignment horizontal="left" vertical="center" indent="1"/>
    </xf>
    <xf numFmtId="0" fontId="12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13" fillId="0" borderId="0" xfId="0" applyFont="1" applyAlignment="1">
      <alignment horizontal="left" vertical="center" indent="1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left" vertical="center" indent="1"/>
    </xf>
    <xf numFmtId="164" fontId="2" fillId="3" borderId="1" xfId="0" applyNumberFormat="1" applyFont="1" applyFill="1" applyBorder="1" applyAlignment="1">
      <alignment horizontal="center" vertical="center"/>
    </xf>
    <xf numFmtId="164" fontId="2" fillId="3" borderId="6" xfId="0" applyNumberFormat="1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2" fillId="4" borderId="44" xfId="0" quotePrefix="1" applyFont="1" applyFill="1" applyBorder="1" applyAlignment="1">
      <alignment horizontal="center" vertical="center"/>
    </xf>
    <xf numFmtId="11" fontId="2" fillId="0" borderId="4" xfId="0" applyNumberFormat="1" applyFont="1" applyBorder="1" applyAlignment="1">
      <alignment horizontal="center" vertical="center"/>
    </xf>
    <xf numFmtId="0" fontId="2" fillId="4" borderId="44" xfId="0" applyFont="1" applyFill="1" applyBorder="1" applyAlignment="1">
      <alignment horizontal="left" vertical="center" indent="1"/>
    </xf>
    <xf numFmtId="165" fontId="5" fillId="4" borderId="8" xfId="0" applyNumberFormat="1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164" fontId="5" fillId="4" borderId="7" xfId="0" applyNumberFormat="1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4" borderId="22" xfId="0" applyFont="1" applyFill="1" applyBorder="1" applyAlignment="1">
      <alignment horizontal="centerContinuous" vertical="center"/>
    </xf>
    <xf numFmtId="0" fontId="9" fillId="4" borderId="15" xfId="0" applyFont="1" applyFill="1" applyBorder="1" applyAlignment="1">
      <alignment horizontal="centerContinuous" vertical="center"/>
    </xf>
    <xf numFmtId="0" fontId="9" fillId="4" borderId="16" xfId="0" applyFont="1" applyFill="1" applyBorder="1" applyAlignment="1">
      <alignment horizontal="centerContinuous" vertical="center"/>
    </xf>
    <xf numFmtId="0" fontId="5" fillId="4" borderId="51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Continuous" vertical="center"/>
    </xf>
    <xf numFmtId="0" fontId="5" fillId="4" borderId="40" xfId="0" applyFont="1" applyFill="1" applyBorder="1" applyAlignment="1">
      <alignment horizontal="centerContinuous" vertical="center"/>
    </xf>
    <xf numFmtId="0" fontId="5" fillId="4" borderId="41" xfId="0" applyFont="1" applyFill="1" applyBorder="1" applyAlignment="1">
      <alignment horizontal="centerContinuous" vertical="center"/>
    </xf>
    <xf numFmtId="3" fontId="5" fillId="4" borderId="13" xfId="0" applyNumberFormat="1" applyFont="1" applyFill="1" applyBorder="1" applyAlignment="1">
      <alignment horizontal="center" vertical="center"/>
    </xf>
    <xf numFmtId="0" fontId="5" fillId="0" borderId="51" xfId="0" applyFont="1" applyBorder="1" applyAlignment="1">
      <alignment horizontal="left" vertical="center" indent="1"/>
    </xf>
    <xf numFmtId="0" fontId="3" fillId="0" borderId="30" xfId="0" applyFont="1" applyBorder="1" applyAlignment="1">
      <alignment horizontal="left" vertical="center" indent="1"/>
    </xf>
    <xf numFmtId="0" fontId="2" fillId="0" borderId="30" xfId="0" applyFont="1" applyBorder="1" applyAlignment="1">
      <alignment vertical="center"/>
    </xf>
    <xf numFmtId="0" fontId="2" fillId="0" borderId="52" xfId="0" applyFont="1" applyBorder="1" applyAlignment="1">
      <alignment horizontal="left" vertical="center" indent="1"/>
    </xf>
    <xf numFmtId="0" fontId="2" fillId="0" borderId="50" xfId="0" applyFont="1" applyBorder="1" applyAlignment="1">
      <alignment horizontal="left" vertical="center" indent="1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horizontal="center" vertical="center"/>
    </xf>
    <xf numFmtId="0" fontId="5" fillId="0" borderId="75" xfId="0" applyFont="1" applyBorder="1" applyAlignment="1">
      <alignment horizontal="centerContinuous" vertical="center"/>
    </xf>
    <xf numFmtId="0" fontId="5" fillId="0" borderId="76" xfId="0" applyFont="1" applyBorder="1" applyAlignment="1">
      <alignment horizontal="centerContinuous" vertical="center"/>
    </xf>
    <xf numFmtId="0" fontId="5" fillId="0" borderId="74" xfId="0" applyFont="1" applyBorder="1" applyAlignment="1">
      <alignment horizontal="centerContinuous" vertical="center"/>
    </xf>
    <xf numFmtId="2" fontId="2" fillId="2" borderId="25" xfId="0" applyNumberFormat="1" applyFont="1" applyFill="1" applyBorder="1" applyAlignment="1">
      <alignment horizontal="center" vertical="center"/>
    </xf>
    <xf numFmtId="2" fontId="2" fillId="2" borderId="26" xfId="0" applyNumberFormat="1" applyFont="1" applyFill="1" applyBorder="1" applyAlignment="1">
      <alignment horizontal="center" vertical="center"/>
    </xf>
    <xf numFmtId="2" fontId="2" fillId="2" borderId="77" xfId="0" applyNumberFormat="1" applyFont="1" applyFill="1" applyBorder="1" applyAlignment="1">
      <alignment horizontal="center" vertical="center"/>
    </xf>
    <xf numFmtId="164" fontId="5" fillId="4" borderId="47" xfId="0" applyNumberFormat="1" applyFont="1" applyFill="1" applyBorder="1" applyAlignment="1">
      <alignment horizontal="center" vertical="center"/>
    </xf>
    <xf numFmtId="164" fontId="2" fillId="3" borderId="66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66" xfId="0" applyFont="1" applyBorder="1" applyAlignment="1">
      <alignment vertical="center"/>
    </xf>
    <xf numFmtId="0" fontId="2" fillId="0" borderId="62" xfId="0" applyFont="1" applyBorder="1" applyAlignment="1">
      <alignment vertical="center"/>
    </xf>
    <xf numFmtId="165" fontId="5" fillId="3" borderId="11" xfId="0" applyNumberFormat="1" applyFont="1" applyFill="1" applyBorder="1" applyAlignment="1">
      <alignment horizontal="center" vertical="center"/>
    </xf>
    <xf numFmtId="165" fontId="5" fillId="3" borderId="27" xfId="0" applyNumberFormat="1" applyFont="1" applyFill="1" applyBorder="1" applyAlignment="1">
      <alignment horizontal="center" vertical="center"/>
    </xf>
    <xf numFmtId="165" fontId="5" fillId="4" borderId="3" xfId="0" applyNumberFormat="1" applyFont="1" applyFill="1" applyBorder="1" applyAlignment="1">
      <alignment horizontal="center" vertical="center"/>
    </xf>
    <xf numFmtId="9" fontId="5" fillId="3" borderId="27" xfId="1" applyFont="1" applyFill="1" applyBorder="1" applyAlignment="1">
      <alignment horizontal="center" vertical="center"/>
    </xf>
    <xf numFmtId="9" fontId="5" fillId="4" borderId="3" xfId="1" applyFont="1" applyFill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3" fillId="0" borderId="28" xfId="0" applyFont="1" applyBorder="1" applyAlignment="1">
      <alignment horizontal="left" vertical="center" indent="2"/>
    </xf>
    <xf numFmtId="0" fontId="2" fillId="0" borderId="59" xfId="0" applyFont="1" applyBorder="1" applyAlignment="1">
      <alignment vertical="center"/>
    </xf>
    <xf numFmtId="0" fontId="2" fillId="0" borderId="79" xfId="0" applyFont="1" applyBorder="1" applyAlignment="1">
      <alignment vertical="center"/>
    </xf>
    <xf numFmtId="0" fontId="2" fillId="0" borderId="0" xfId="0" applyFont="1"/>
    <xf numFmtId="0" fontId="5" fillId="4" borderId="52" xfId="0" applyFont="1" applyFill="1" applyBorder="1" applyAlignment="1">
      <alignment horizontal="left" vertical="center" indent="1"/>
    </xf>
    <xf numFmtId="0" fontId="3" fillId="4" borderId="50" xfId="0" applyFont="1" applyFill="1" applyBorder="1" applyAlignment="1">
      <alignment vertical="center"/>
    </xf>
    <xf numFmtId="0" fontId="3" fillId="4" borderId="30" xfId="0" applyFont="1" applyFill="1" applyBorder="1" applyAlignment="1">
      <alignment vertical="center"/>
    </xf>
    <xf numFmtId="0" fontId="5" fillId="4" borderId="85" xfId="0" applyFont="1" applyFill="1" applyBorder="1" applyAlignment="1">
      <alignment horizontal="left" vertical="center" indent="1"/>
    </xf>
    <xf numFmtId="0" fontId="3" fillId="4" borderId="86" xfId="0" applyFont="1" applyFill="1" applyBorder="1" applyAlignment="1">
      <alignment vertical="center"/>
    </xf>
    <xf numFmtId="3" fontId="5" fillId="4" borderId="87" xfId="0" applyNumberFormat="1" applyFont="1" applyFill="1" applyBorder="1" applyAlignment="1">
      <alignment horizontal="center" vertical="center"/>
    </xf>
    <xf numFmtId="165" fontId="5" fillId="4" borderId="87" xfId="0" applyNumberFormat="1" applyFont="1" applyFill="1" applyBorder="1" applyAlignment="1">
      <alignment horizontal="center" vertical="center"/>
    </xf>
    <xf numFmtId="164" fontId="15" fillId="0" borderId="5" xfId="0" applyNumberFormat="1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 wrapText="1"/>
    </xf>
    <xf numFmtId="3" fontId="15" fillId="0" borderId="61" xfId="0" applyNumberFormat="1" applyFont="1" applyBorder="1" applyAlignment="1">
      <alignment horizontal="center" vertical="center"/>
    </xf>
    <xf numFmtId="3" fontId="5" fillId="4" borderId="51" xfId="0" applyNumberFormat="1" applyFont="1" applyFill="1" applyBorder="1" applyAlignment="1">
      <alignment horizontal="center" vertical="center"/>
    </xf>
    <xf numFmtId="165" fontId="5" fillId="4" borderId="91" xfId="0" applyNumberFormat="1" applyFont="1" applyFill="1" applyBorder="1" applyAlignment="1">
      <alignment horizontal="center" vertical="center"/>
    </xf>
    <xf numFmtId="0" fontId="15" fillId="0" borderId="28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/>
    </xf>
    <xf numFmtId="164" fontId="15" fillId="0" borderId="62" xfId="0" applyNumberFormat="1" applyFont="1" applyBorder="1" applyAlignment="1">
      <alignment horizontal="center" vertical="center"/>
    </xf>
    <xf numFmtId="165" fontId="5" fillId="4" borderId="95" xfId="0" applyNumberFormat="1" applyFont="1" applyFill="1" applyBorder="1" applyAlignment="1">
      <alignment horizontal="center" vertical="center"/>
    </xf>
    <xf numFmtId="165" fontId="15" fillId="0" borderId="96" xfId="0" applyNumberFormat="1" applyFont="1" applyBorder="1" applyAlignment="1">
      <alignment horizontal="center" vertical="center"/>
    </xf>
    <xf numFmtId="165" fontId="5" fillId="4" borderId="97" xfId="0" applyNumberFormat="1" applyFont="1" applyFill="1" applyBorder="1" applyAlignment="1">
      <alignment horizontal="center" vertical="center"/>
    </xf>
    <xf numFmtId="0" fontId="5" fillId="4" borderId="85" xfId="0" applyFont="1" applyFill="1" applyBorder="1" applyAlignment="1">
      <alignment horizontal="centerContinuous" vertical="center"/>
    </xf>
    <xf numFmtId="0" fontId="5" fillId="4" borderId="86" xfId="0" applyFont="1" applyFill="1" applyBorder="1" applyAlignment="1">
      <alignment horizontal="centerContinuous" vertical="center"/>
    </xf>
    <xf numFmtId="0" fontId="5" fillId="4" borderId="92" xfId="0" applyFont="1" applyFill="1" applyBorder="1" applyAlignment="1">
      <alignment horizontal="centerContinuous" vertical="center"/>
    </xf>
    <xf numFmtId="3" fontId="5" fillId="4" borderId="99" xfId="0" applyNumberFormat="1" applyFont="1" applyFill="1" applyBorder="1" applyAlignment="1">
      <alignment horizontal="center" vertical="center"/>
    </xf>
    <xf numFmtId="0" fontId="2" fillId="0" borderId="71" xfId="0" applyFont="1" applyBorder="1" applyAlignment="1">
      <alignment vertical="center"/>
    </xf>
    <xf numFmtId="0" fontId="2" fillId="15" borderId="94" xfId="0" applyFont="1" applyFill="1" applyBorder="1" applyAlignment="1">
      <alignment vertical="center"/>
    </xf>
    <xf numFmtId="0" fontId="3" fillId="0" borderId="101" xfId="0" applyFont="1" applyBorder="1" applyAlignment="1">
      <alignment horizontal="left" vertical="center" indent="2"/>
    </xf>
    <xf numFmtId="0" fontId="3" fillId="0" borderId="102" xfId="0" applyFont="1" applyBorder="1" applyAlignment="1">
      <alignment vertical="center"/>
    </xf>
    <xf numFmtId="0" fontId="3" fillId="0" borderId="103" xfId="0" applyFont="1" applyBorder="1" applyAlignment="1">
      <alignment vertical="center"/>
    </xf>
    <xf numFmtId="0" fontId="2" fillId="0" borderId="104" xfId="0" applyFont="1" applyBorder="1" applyAlignment="1">
      <alignment vertical="center"/>
    </xf>
    <xf numFmtId="165" fontId="5" fillId="3" borderId="100" xfId="0" applyNumberFormat="1" applyFont="1" applyFill="1" applyBorder="1" applyAlignment="1">
      <alignment horizontal="center" vertical="center"/>
    </xf>
    <xf numFmtId="0" fontId="30" fillId="16" borderId="0" xfId="0" applyFont="1" applyFill="1" applyAlignment="1">
      <alignment horizontal="left" vertical="center" indent="1"/>
    </xf>
    <xf numFmtId="0" fontId="3" fillId="0" borderId="40" xfId="0" applyFont="1" applyBorder="1" applyAlignment="1">
      <alignment horizontal="left" vertical="center" indent="1"/>
    </xf>
    <xf numFmtId="0" fontId="3" fillId="0" borderId="106" xfId="0" applyFont="1" applyBorder="1" applyAlignment="1">
      <alignment horizontal="left" vertical="center" indent="1"/>
    </xf>
    <xf numFmtId="0" fontId="3" fillId="0" borderId="52" xfId="0" applyFont="1" applyBorder="1" applyAlignment="1">
      <alignment horizontal="left" vertical="center" indent="1"/>
    </xf>
    <xf numFmtId="0" fontId="5" fillId="2" borderId="3" xfId="0" applyFont="1" applyFill="1" applyBorder="1" applyAlignment="1">
      <alignment horizontal="center" vertical="center"/>
    </xf>
    <xf numFmtId="3" fontId="2" fillId="3" borderId="23" xfId="0" applyNumberFormat="1" applyFont="1" applyFill="1" applyBorder="1" applyAlignment="1">
      <alignment horizontal="center" vertical="center"/>
    </xf>
    <xf numFmtId="3" fontId="2" fillId="3" borderId="24" xfId="0" applyNumberFormat="1" applyFont="1" applyFill="1" applyBorder="1" applyAlignment="1">
      <alignment horizontal="center" vertical="center"/>
    </xf>
    <xf numFmtId="4" fontId="5" fillId="4" borderId="9" xfId="0" applyNumberFormat="1" applyFont="1" applyFill="1" applyBorder="1" applyAlignment="1">
      <alignment horizontal="center" vertical="center"/>
    </xf>
    <xf numFmtId="0" fontId="12" fillId="0" borderId="64" xfId="0" applyFont="1" applyBorder="1" applyAlignment="1">
      <alignment vertical="center"/>
    </xf>
    <xf numFmtId="164" fontId="2" fillId="3" borderId="46" xfId="0" applyNumberFormat="1" applyFont="1" applyFill="1" applyBorder="1" applyAlignment="1">
      <alignment horizontal="center" vertical="center"/>
    </xf>
    <xf numFmtId="9" fontId="5" fillId="3" borderId="14" xfId="1" applyFont="1" applyFill="1" applyBorder="1" applyAlignment="1">
      <alignment horizontal="center" vertical="center"/>
    </xf>
    <xf numFmtId="9" fontId="5" fillId="3" borderId="5" xfId="1" applyFont="1" applyFill="1" applyBorder="1" applyAlignment="1">
      <alignment horizontal="center" vertical="center"/>
    </xf>
    <xf numFmtId="9" fontId="5" fillId="3" borderId="19" xfId="1" applyFont="1" applyFill="1" applyBorder="1" applyAlignment="1">
      <alignment horizontal="center" vertical="center"/>
    </xf>
    <xf numFmtId="0" fontId="2" fillId="4" borderId="47" xfId="0" quotePrefix="1" applyFont="1" applyFill="1" applyBorder="1" applyAlignment="1">
      <alignment horizontal="center" vertical="center"/>
    </xf>
    <xf numFmtId="164" fontId="5" fillId="4" borderId="9" xfId="0" applyNumberFormat="1" applyFont="1" applyFill="1" applyBorder="1" applyAlignment="1">
      <alignment horizontal="center" vertical="center"/>
    </xf>
    <xf numFmtId="3" fontId="2" fillId="3" borderId="22" xfId="0" applyNumberFormat="1" applyFont="1" applyFill="1" applyBorder="1" applyAlignment="1">
      <alignment horizontal="center" vertical="center"/>
    </xf>
    <xf numFmtId="3" fontId="2" fillId="3" borderId="15" xfId="0" applyNumberFormat="1" applyFont="1" applyFill="1" applyBorder="1" applyAlignment="1">
      <alignment horizontal="center" vertical="center"/>
    </xf>
    <xf numFmtId="3" fontId="2" fillId="3" borderId="1" xfId="0" applyNumberFormat="1" applyFont="1" applyFill="1" applyBorder="1" applyAlignment="1">
      <alignment horizontal="center" vertical="center"/>
    </xf>
    <xf numFmtId="3" fontId="2" fillId="3" borderId="19" xfId="0" applyNumberFormat="1" applyFont="1" applyFill="1" applyBorder="1" applyAlignment="1">
      <alignment horizontal="center" vertical="center"/>
    </xf>
    <xf numFmtId="4" fontId="2" fillId="3" borderId="16" xfId="0" applyNumberFormat="1" applyFont="1" applyFill="1" applyBorder="1" applyAlignment="1">
      <alignment horizontal="center" vertical="center"/>
    </xf>
    <xf numFmtId="0" fontId="9" fillId="20" borderId="39" xfId="0" applyFont="1" applyFill="1" applyBorder="1" applyAlignment="1">
      <alignment horizontal="centerContinuous" vertical="center" wrapText="1"/>
    </xf>
    <xf numFmtId="0" fontId="9" fillId="20" borderId="40" xfId="0" applyFont="1" applyFill="1" applyBorder="1" applyAlignment="1">
      <alignment horizontal="centerContinuous" vertical="center" wrapText="1"/>
    </xf>
    <xf numFmtId="0" fontId="9" fillId="20" borderId="41" xfId="0" applyFont="1" applyFill="1" applyBorder="1" applyAlignment="1">
      <alignment horizontal="centerContinuous" vertical="center" wrapText="1"/>
    </xf>
    <xf numFmtId="0" fontId="5" fillId="21" borderId="46" xfId="0" applyFont="1" applyFill="1" applyBorder="1" applyAlignment="1">
      <alignment horizontal="center" vertical="center" wrapText="1"/>
    </xf>
    <xf numFmtId="165" fontId="2" fillId="3" borderId="17" xfId="0" applyNumberFormat="1" applyFont="1" applyFill="1" applyBorder="1" applyAlignment="1">
      <alignment horizontal="center" vertical="center"/>
    </xf>
    <xf numFmtId="4" fontId="2" fillId="3" borderId="17" xfId="0" applyNumberFormat="1" applyFont="1" applyFill="1" applyBorder="1" applyAlignment="1">
      <alignment horizontal="center" vertical="center"/>
    </xf>
    <xf numFmtId="4" fontId="2" fillId="3" borderId="20" xfId="0" applyNumberFormat="1" applyFont="1" applyFill="1" applyBorder="1" applyAlignment="1">
      <alignment horizontal="center" vertical="center"/>
    </xf>
    <xf numFmtId="0" fontId="3" fillId="4" borderId="86" xfId="0" applyFont="1" applyFill="1" applyBorder="1" applyAlignment="1">
      <alignment horizontal="centerContinuous" vertical="center"/>
    </xf>
    <xf numFmtId="164" fontId="15" fillId="0" borderId="110" xfId="0" applyNumberFormat="1" applyFont="1" applyBorder="1" applyAlignment="1">
      <alignment horizontal="center" vertical="center"/>
    </xf>
    <xf numFmtId="165" fontId="5" fillId="4" borderId="111" xfId="0" applyNumberFormat="1" applyFont="1" applyFill="1" applyBorder="1" applyAlignment="1">
      <alignment horizontal="center" vertical="center"/>
    </xf>
    <xf numFmtId="0" fontId="5" fillId="4" borderId="112" xfId="0" applyFont="1" applyFill="1" applyBorder="1" applyAlignment="1">
      <alignment horizontal="centerContinuous" vertical="center"/>
    </xf>
    <xf numFmtId="164" fontId="15" fillId="0" borderId="28" xfId="0" applyNumberFormat="1" applyFont="1" applyBorder="1" applyAlignment="1">
      <alignment horizontal="center" vertical="center"/>
    </xf>
    <xf numFmtId="165" fontId="5" fillId="4" borderId="7" xfId="0" applyNumberFormat="1" applyFont="1" applyFill="1" applyBorder="1" applyAlignment="1">
      <alignment horizontal="center" vertical="center"/>
    </xf>
    <xf numFmtId="0" fontId="15" fillId="0" borderId="48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vertical="center"/>
    </xf>
    <xf numFmtId="0" fontId="2" fillId="0" borderId="41" xfId="0" applyFont="1" applyBorder="1" applyAlignment="1">
      <alignment horizontal="right" vertical="center" indent="1"/>
    </xf>
    <xf numFmtId="0" fontId="2" fillId="0" borderId="37" xfId="0" applyFont="1" applyBorder="1" applyAlignment="1">
      <alignment vertical="center"/>
    </xf>
    <xf numFmtId="0" fontId="2" fillId="0" borderId="38" xfId="0" applyFont="1" applyBorder="1" applyAlignment="1">
      <alignment horizontal="right" vertical="center" indent="1"/>
    </xf>
    <xf numFmtId="0" fontId="2" fillId="0" borderId="34" xfId="0" applyFont="1" applyBorder="1" applyAlignment="1">
      <alignment vertical="center"/>
    </xf>
    <xf numFmtId="0" fontId="2" fillId="0" borderId="36" xfId="0" applyFont="1" applyBorder="1" applyAlignment="1">
      <alignment horizontal="right" vertical="center" indent="1"/>
    </xf>
    <xf numFmtId="0" fontId="2" fillId="0" borderId="45" xfId="0" applyFont="1" applyBorder="1" applyAlignment="1">
      <alignment vertical="center"/>
    </xf>
    <xf numFmtId="0" fontId="10" fillId="0" borderId="30" xfId="0" applyFont="1" applyBorder="1" applyAlignment="1">
      <alignment horizontal="left" vertical="center" indent="1"/>
    </xf>
    <xf numFmtId="0" fontId="10" fillId="0" borderId="48" xfId="0" applyFont="1" applyBorder="1" applyAlignment="1">
      <alignment horizontal="left" vertical="center" indent="1"/>
    </xf>
    <xf numFmtId="0" fontId="2" fillId="0" borderId="64" xfId="0" applyFont="1" applyBorder="1" applyAlignment="1">
      <alignment horizontal="left" vertical="center" indent="1"/>
    </xf>
    <xf numFmtId="0" fontId="2" fillId="0" borderId="67" xfId="0" applyFont="1" applyBorder="1" applyAlignment="1">
      <alignment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37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/>
    </xf>
    <xf numFmtId="11" fontId="2" fillId="0" borderId="17" xfId="0" applyNumberFormat="1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11" fontId="2" fillId="0" borderId="29" xfId="0" applyNumberFormat="1" applyFont="1" applyBorder="1" applyAlignment="1">
      <alignment horizontal="center" vertical="center"/>
    </xf>
    <xf numFmtId="165" fontId="2" fillId="3" borderId="6" xfId="0" applyNumberFormat="1" applyFont="1" applyFill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165" fontId="2" fillId="3" borderId="29" xfId="0" applyNumberFormat="1" applyFont="1" applyFill="1" applyBorder="1" applyAlignment="1">
      <alignment horizontal="center" vertical="center"/>
    </xf>
    <xf numFmtId="1" fontId="15" fillId="3" borderId="28" xfId="0" applyNumberFormat="1" applyFont="1" applyFill="1" applyBorder="1" applyAlignment="1">
      <alignment horizontal="center" vertical="center"/>
    </xf>
    <xf numFmtId="11" fontId="2" fillId="0" borderId="116" xfId="0" applyNumberFormat="1" applyFont="1" applyBorder="1" applyAlignment="1">
      <alignment horizontal="center" vertical="center"/>
    </xf>
    <xf numFmtId="165" fontId="2" fillId="3" borderId="115" xfId="0" applyNumberFormat="1" applyFont="1" applyFill="1" applyBorder="1" applyAlignment="1">
      <alignment horizontal="center" vertical="center"/>
    </xf>
    <xf numFmtId="165" fontId="2" fillId="3" borderId="116" xfId="0" applyNumberFormat="1" applyFont="1" applyFill="1" applyBorder="1" applyAlignment="1">
      <alignment horizontal="center" vertical="center"/>
    </xf>
    <xf numFmtId="1" fontId="15" fillId="3" borderId="114" xfId="0" applyNumberFormat="1" applyFont="1" applyFill="1" applyBorder="1" applyAlignment="1">
      <alignment horizontal="center" vertical="center"/>
    </xf>
    <xf numFmtId="1" fontId="5" fillId="4" borderId="8" xfId="0" quotePrefix="1" applyNumberFormat="1" applyFont="1" applyFill="1" applyBorder="1" applyAlignment="1">
      <alignment horizontal="center" vertical="center"/>
    </xf>
    <xf numFmtId="0" fontId="5" fillId="4" borderId="9" xfId="0" quotePrefix="1" applyFont="1" applyFill="1" applyBorder="1" applyAlignment="1">
      <alignment horizontal="center" vertical="center"/>
    </xf>
    <xf numFmtId="166" fontId="5" fillId="4" borderId="8" xfId="0" applyNumberFormat="1" applyFont="1" applyFill="1" applyBorder="1" applyAlignment="1">
      <alignment horizontal="center" vertical="center"/>
    </xf>
    <xf numFmtId="0" fontId="5" fillId="4" borderId="7" xfId="0" quotePrefix="1" applyFont="1" applyFill="1" applyBorder="1" applyAlignment="1">
      <alignment horizontal="center" vertical="center"/>
    </xf>
    <xf numFmtId="0" fontId="2" fillId="19" borderId="39" xfId="0" applyFont="1" applyFill="1" applyBorder="1" applyAlignment="1">
      <alignment vertical="center"/>
    </xf>
    <xf numFmtId="0" fontId="5" fillId="19" borderId="40" xfId="0" applyFont="1" applyFill="1" applyBorder="1" applyAlignment="1">
      <alignment horizontal="center" vertical="center"/>
    </xf>
    <xf numFmtId="0" fontId="2" fillId="19" borderId="41" xfId="0" applyFont="1" applyFill="1" applyBorder="1" applyAlignment="1">
      <alignment vertical="center"/>
    </xf>
    <xf numFmtId="4" fontId="2" fillId="3" borderId="28" xfId="0" applyNumberFormat="1" applyFont="1" applyFill="1" applyBorder="1" applyAlignment="1">
      <alignment horizontal="center" vertical="center"/>
    </xf>
    <xf numFmtId="4" fontId="2" fillId="3" borderId="6" xfId="0" applyNumberFormat="1" applyFont="1" applyFill="1" applyBorder="1" applyAlignment="1">
      <alignment horizontal="center" vertical="center"/>
    </xf>
    <xf numFmtId="4" fontId="2" fillId="3" borderId="1" xfId="0" applyNumberFormat="1" applyFont="1" applyFill="1" applyBorder="1" applyAlignment="1">
      <alignment horizontal="center" vertical="center"/>
    </xf>
    <xf numFmtId="4" fontId="2" fillId="3" borderId="115" xfId="0" applyNumberFormat="1" applyFont="1" applyFill="1" applyBorder="1" applyAlignment="1">
      <alignment horizontal="center" vertical="center"/>
    </xf>
    <xf numFmtId="167" fontId="5" fillId="4" borderId="7" xfId="0" applyNumberFormat="1" applyFont="1" applyFill="1" applyBorder="1" applyAlignment="1">
      <alignment horizontal="center" vertical="center"/>
    </xf>
    <xf numFmtId="167" fontId="5" fillId="4" borderId="8" xfId="0" applyNumberFormat="1" applyFont="1" applyFill="1" applyBorder="1" applyAlignment="1">
      <alignment horizontal="center" vertical="center"/>
    </xf>
    <xf numFmtId="166" fontId="5" fillId="4" borderId="8" xfId="0" quotePrefix="1" applyNumberFormat="1" applyFont="1" applyFill="1" applyBorder="1" applyAlignment="1">
      <alignment horizontal="center" vertical="center"/>
    </xf>
    <xf numFmtId="0" fontId="35" fillId="0" borderId="0" xfId="0" applyFont="1" applyAlignment="1">
      <alignment vertical="center"/>
    </xf>
    <xf numFmtId="0" fontId="2" fillId="18" borderId="39" xfId="0" applyFont="1" applyFill="1" applyBorder="1" applyAlignment="1">
      <alignment vertical="center"/>
    </xf>
    <xf numFmtId="0" fontId="5" fillId="18" borderId="40" xfId="0" applyFont="1" applyFill="1" applyBorder="1" applyAlignment="1">
      <alignment horizontal="center" vertical="center"/>
    </xf>
    <xf numFmtId="0" fontId="2" fillId="18" borderId="41" xfId="0" applyFont="1" applyFill="1" applyBorder="1" applyAlignment="1">
      <alignment vertical="center"/>
    </xf>
    <xf numFmtId="0" fontId="5" fillId="18" borderId="39" xfId="0" applyFont="1" applyFill="1" applyBorder="1" applyAlignment="1">
      <alignment horizontal="centerContinuous" vertical="center"/>
    </xf>
    <xf numFmtId="0" fontId="5" fillId="18" borderId="40" xfId="0" applyFont="1" applyFill="1" applyBorder="1" applyAlignment="1">
      <alignment horizontal="centerContinuous" vertical="center"/>
    </xf>
    <xf numFmtId="0" fontId="5" fillId="18" borderId="78" xfId="0" applyFont="1" applyFill="1" applyBorder="1" applyAlignment="1">
      <alignment horizontal="centerContinuous" vertical="center"/>
    </xf>
    <xf numFmtId="0" fontId="2" fillId="18" borderId="10" xfId="0" applyFont="1" applyFill="1" applyBorder="1" applyAlignment="1">
      <alignment horizontal="centerContinuous" vertical="center"/>
    </xf>
    <xf numFmtId="0" fontId="2" fillId="22" borderId="0" xfId="0" applyFont="1" applyFill="1" applyAlignment="1">
      <alignment vertical="center"/>
    </xf>
    <xf numFmtId="0" fontId="2" fillId="17" borderId="0" xfId="0" applyFont="1" applyFill="1" applyAlignment="1">
      <alignment vertical="center"/>
    </xf>
    <xf numFmtId="0" fontId="11" fillId="23" borderId="0" xfId="0" applyFont="1" applyFill="1" applyAlignment="1">
      <alignment horizontal="left" vertical="center" indent="1"/>
    </xf>
    <xf numFmtId="0" fontId="2" fillId="23" borderId="0" xfId="0" applyFont="1" applyFill="1" applyAlignment="1">
      <alignment vertical="center"/>
    </xf>
    <xf numFmtId="0" fontId="1" fillId="23" borderId="0" xfId="0" applyFont="1" applyFill="1" applyAlignment="1">
      <alignment horizontal="left" vertical="center" indent="1"/>
    </xf>
    <xf numFmtId="0" fontId="15" fillId="3" borderId="37" xfId="0" applyFont="1" applyFill="1" applyBorder="1" applyAlignment="1">
      <alignment horizontal="left" vertical="center" indent="1"/>
    </xf>
    <xf numFmtId="0" fontId="2" fillId="3" borderId="37" xfId="0" applyFont="1" applyFill="1" applyBorder="1" applyAlignment="1">
      <alignment horizontal="left" vertical="center" indent="1"/>
    </xf>
    <xf numFmtId="0" fontId="2" fillId="3" borderId="61" xfId="0" applyFont="1" applyFill="1" applyBorder="1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3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5" fillId="0" borderId="39" xfId="0" applyFont="1" applyBorder="1" applyAlignment="1">
      <alignment horizontal="centerContinuous" vertical="center"/>
    </xf>
    <xf numFmtId="0" fontId="5" fillId="0" borderId="40" xfId="0" applyFont="1" applyBorder="1" applyAlignment="1">
      <alignment horizontal="centerContinuous" vertical="center"/>
    </xf>
    <xf numFmtId="0" fontId="2" fillId="0" borderId="40" xfId="0" applyFont="1" applyBorder="1" applyAlignment="1">
      <alignment horizontal="centerContinuous" vertical="center"/>
    </xf>
    <xf numFmtId="3" fontId="5" fillId="3" borderId="121" xfId="0" applyNumberFormat="1" applyFont="1" applyFill="1" applyBorder="1" applyAlignment="1">
      <alignment horizontal="center" vertical="center"/>
    </xf>
    <xf numFmtId="3" fontId="5" fillId="3" borderId="122" xfId="0" applyNumberFormat="1" applyFont="1" applyFill="1" applyBorder="1" applyAlignment="1">
      <alignment horizontal="center" vertical="center"/>
    </xf>
    <xf numFmtId="0" fontId="5" fillId="4" borderId="123" xfId="0" applyFont="1" applyFill="1" applyBorder="1" applyAlignment="1">
      <alignment horizontal="left" vertical="center" indent="1"/>
    </xf>
    <xf numFmtId="0" fontId="3" fillId="4" borderId="124" xfId="0" applyFont="1" applyFill="1" applyBorder="1" applyAlignment="1">
      <alignment vertical="center"/>
    </xf>
    <xf numFmtId="0" fontId="3" fillId="4" borderId="125" xfId="0" applyFont="1" applyFill="1" applyBorder="1" applyAlignment="1">
      <alignment vertical="center"/>
    </xf>
    <xf numFmtId="0" fontId="3" fillId="0" borderId="40" xfId="0" applyFont="1" applyBorder="1" applyAlignment="1">
      <alignment vertical="center"/>
    </xf>
    <xf numFmtId="0" fontId="3" fillId="0" borderId="41" xfId="0" applyFont="1" applyBorder="1" applyAlignment="1">
      <alignment vertical="center"/>
    </xf>
    <xf numFmtId="0" fontId="3" fillId="0" borderId="61" xfId="0" applyFont="1" applyBorder="1" applyAlignment="1">
      <alignment horizontal="left" vertical="center" indent="1"/>
    </xf>
    <xf numFmtId="0" fontId="3" fillId="0" borderId="62" xfId="0" applyFont="1" applyBorder="1" applyAlignment="1">
      <alignment vertical="center"/>
    </xf>
    <xf numFmtId="0" fontId="3" fillId="0" borderId="46" xfId="0" applyFont="1" applyBorder="1" applyAlignment="1">
      <alignment vertical="center"/>
    </xf>
    <xf numFmtId="0" fontId="15" fillId="0" borderId="48" xfId="0" applyFont="1" applyBorder="1" applyAlignment="1">
      <alignment vertical="center"/>
    </xf>
    <xf numFmtId="11" fontId="15" fillId="0" borderId="48" xfId="0" applyNumberFormat="1" applyFont="1" applyBorder="1" applyAlignment="1">
      <alignment horizontal="center" vertical="center"/>
    </xf>
    <xf numFmtId="0" fontId="2" fillId="3" borderId="62" xfId="0" applyFont="1" applyFill="1" applyBorder="1" applyAlignment="1">
      <alignment vertical="center"/>
    </xf>
    <xf numFmtId="0" fontId="15" fillId="3" borderId="33" xfId="0" applyFont="1" applyFill="1" applyBorder="1" applyAlignment="1">
      <alignment vertical="center" wrapText="1"/>
    </xf>
    <xf numFmtId="0" fontId="15" fillId="3" borderId="33" xfId="0" applyFont="1" applyFill="1" applyBorder="1" applyAlignment="1">
      <alignment vertical="center"/>
    </xf>
    <xf numFmtId="0" fontId="2" fillId="24" borderId="0" xfId="0" applyFont="1" applyFill="1" applyAlignment="1">
      <alignment vertical="center"/>
    </xf>
    <xf numFmtId="0" fontId="37" fillId="3" borderId="5" xfId="0" applyFont="1" applyFill="1" applyBorder="1" applyAlignment="1">
      <alignment horizontal="right" vertical="center"/>
    </xf>
    <xf numFmtId="0" fontId="38" fillId="0" borderId="0" xfId="0" applyFont="1" applyAlignment="1">
      <alignment horizontal="left" vertical="center" indent="1"/>
    </xf>
    <xf numFmtId="0" fontId="15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38" fillId="0" borderId="0" xfId="0" applyFont="1" applyAlignment="1">
      <alignment vertical="center"/>
    </xf>
    <xf numFmtId="0" fontId="39" fillId="0" borderId="0" xfId="0" applyFont="1" applyAlignment="1">
      <alignment vertical="center"/>
    </xf>
    <xf numFmtId="0" fontId="2" fillId="24" borderId="0" xfId="0" applyFont="1" applyFill="1" applyAlignment="1">
      <alignment horizontal="left" vertical="center" indent="1"/>
    </xf>
    <xf numFmtId="0" fontId="2" fillId="0" borderId="61" xfId="0" applyFont="1" applyBorder="1" applyAlignment="1">
      <alignment vertical="center"/>
    </xf>
    <xf numFmtId="0" fontId="2" fillId="0" borderId="46" xfId="0" applyFont="1" applyBorder="1" applyAlignment="1">
      <alignment horizontal="right" vertical="center" indent="1"/>
    </xf>
    <xf numFmtId="0" fontId="2" fillId="0" borderId="46" xfId="0" applyFont="1" applyBorder="1" applyAlignment="1">
      <alignment horizontal="center" vertical="center"/>
    </xf>
    <xf numFmtId="0" fontId="36" fillId="0" borderId="104" xfId="0" applyFont="1" applyBorder="1" applyAlignment="1">
      <alignment horizontal="center" vertical="center"/>
    </xf>
    <xf numFmtId="0" fontId="2" fillId="25" borderId="0" xfId="0" applyFont="1" applyFill="1" applyAlignment="1">
      <alignment vertical="center"/>
    </xf>
    <xf numFmtId="9" fontId="9" fillId="15" borderId="27" xfId="1" applyFont="1" applyFill="1" applyBorder="1" applyAlignment="1">
      <alignment horizontal="center" vertical="center"/>
    </xf>
    <xf numFmtId="0" fontId="5" fillId="0" borderId="41" xfId="0" applyFont="1" applyBorder="1" applyAlignment="1">
      <alignment horizontal="centerContinuous" vertical="center"/>
    </xf>
    <xf numFmtId="3" fontId="2" fillId="3" borderId="14" xfId="0" applyNumberFormat="1" applyFont="1" applyFill="1" applyBorder="1" applyAlignment="1">
      <alignment horizontal="center" vertical="center"/>
    </xf>
    <xf numFmtId="3" fontId="2" fillId="3" borderId="4" xfId="0" applyNumberFormat="1" applyFont="1" applyFill="1" applyBorder="1" applyAlignment="1">
      <alignment horizontal="center" vertical="center"/>
    </xf>
    <xf numFmtId="0" fontId="41" fillId="0" borderId="0" xfId="0" applyFont="1" applyAlignment="1">
      <alignment vertical="center"/>
    </xf>
    <xf numFmtId="0" fontId="3" fillId="0" borderId="37" xfId="0" applyFont="1" applyBorder="1" applyAlignment="1">
      <alignment horizontal="left" vertical="center" indent="1"/>
    </xf>
    <xf numFmtId="0" fontId="3" fillId="0" borderId="33" xfId="0" applyFont="1" applyBorder="1" applyAlignment="1">
      <alignment vertical="center"/>
    </xf>
    <xf numFmtId="0" fontId="3" fillId="0" borderId="38" xfId="0" applyFont="1" applyBorder="1" applyAlignment="1">
      <alignment vertical="center"/>
    </xf>
    <xf numFmtId="0" fontId="5" fillId="4" borderId="129" xfId="0" applyFont="1" applyFill="1" applyBorder="1" applyAlignment="1">
      <alignment horizontal="centerContinuous" vertical="center"/>
    </xf>
    <xf numFmtId="0" fontId="5" fillId="0" borderId="12" xfId="0" applyFont="1" applyBorder="1" applyAlignment="1">
      <alignment horizontal="center" vertical="center"/>
    </xf>
    <xf numFmtId="165" fontId="15" fillId="0" borderId="27" xfId="0" applyNumberFormat="1" applyFont="1" applyBorder="1" applyAlignment="1">
      <alignment horizontal="center" vertical="center"/>
    </xf>
    <xf numFmtId="0" fontId="15" fillId="11" borderId="62" xfId="0" applyFont="1" applyFill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3" fontId="2" fillId="0" borderId="62" xfId="0" applyNumberFormat="1" applyFont="1" applyBorder="1" applyAlignment="1">
      <alignment horizontal="center" vertical="center"/>
    </xf>
    <xf numFmtId="3" fontId="2" fillId="0" borderId="33" xfId="0" applyNumberFormat="1" applyFont="1" applyBorder="1" applyAlignment="1">
      <alignment horizontal="center" vertical="center"/>
    </xf>
    <xf numFmtId="3" fontId="2" fillId="0" borderId="35" xfId="0" applyNumberFormat="1" applyFont="1" applyBorder="1" applyAlignment="1">
      <alignment horizontal="center" vertical="center"/>
    </xf>
    <xf numFmtId="0" fontId="15" fillId="11" borderId="1" xfId="0" applyFont="1" applyFill="1" applyBorder="1" applyAlignment="1">
      <alignment horizontal="center" vertical="center" wrapText="1"/>
    </xf>
    <xf numFmtId="0" fontId="15" fillId="0" borderId="130" xfId="0" applyFont="1" applyBorder="1" applyAlignment="1">
      <alignment horizontal="center" vertical="center" wrapText="1"/>
    </xf>
    <xf numFmtId="0" fontId="43" fillId="0" borderId="0" xfId="0" applyFont="1" applyAlignment="1">
      <alignment horizontal="left" vertical="center" indent="1"/>
    </xf>
    <xf numFmtId="0" fontId="44" fillId="16" borderId="0" xfId="0" applyFont="1" applyFill="1" applyAlignment="1">
      <alignment horizontal="left" vertical="center" indent="1"/>
    </xf>
    <xf numFmtId="0" fontId="12" fillId="16" borderId="0" xfId="0" applyFont="1" applyFill="1" applyAlignment="1">
      <alignment vertical="center"/>
    </xf>
    <xf numFmtId="0" fontId="45" fillId="16" borderId="0" xfId="0" applyFont="1" applyFill="1" applyAlignment="1">
      <alignment horizontal="left" vertical="center" indent="1"/>
    </xf>
    <xf numFmtId="0" fontId="2" fillId="19" borderId="41" xfId="0" applyFont="1" applyFill="1" applyBorder="1" applyAlignment="1">
      <alignment horizontal="centerContinuous" vertical="center"/>
    </xf>
    <xf numFmtId="166" fontId="5" fillId="4" borderId="7" xfId="0" applyNumberFormat="1" applyFont="1" applyFill="1" applyBorder="1" applyAlignment="1">
      <alignment horizontal="center" vertical="center"/>
    </xf>
    <xf numFmtId="164" fontId="2" fillId="8" borderId="28" xfId="0" applyNumberFormat="1" applyFont="1" applyFill="1" applyBorder="1" applyAlignment="1">
      <alignment horizontal="center" vertical="center"/>
    </xf>
    <xf numFmtId="164" fontId="2" fillId="8" borderId="23" xfId="0" applyNumberFormat="1" applyFont="1" applyFill="1" applyBorder="1" applyAlignment="1">
      <alignment horizontal="center" vertical="center"/>
    </xf>
    <xf numFmtId="164" fontId="2" fillId="8" borderId="114" xfId="0" applyNumberFormat="1" applyFont="1" applyFill="1" applyBorder="1" applyAlignment="1">
      <alignment horizontal="center" vertical="center"/>
    </xf>
    <xf numFmtId="165" fontId="2" fillId="3" borderId="46" xfId="0" applyNumberFormat="1" applyFont="1" applyFill="1" applyBorder="1" applyAlignment="1">
      <alignment horizontal="center" vertical="center"/>
    </xf>
    <xf numFmtId="165" fontId="2" fillId="3" borderId="38" xfId="0" applyNumberFormat="1" applyFont="1" applyFill="1" applyBorder="1" applyAlignment="1">
      <alignment horizontal="center" vertical="center"/>
    </xf>
    <xf numFmtId="165" fontId="2" fillId="3" borderId="60" xfId="0" applyNumberFormat="1" applyFont="1" applyFill="1" applyBorder="1" applyAlignment="1">
      <alignment horizontal="center" vertical="center"/>
    </xf>
    <xf numFmtId="9" fontId="5" fillId="3" borderId="15" xfId="1" applyFont="1" applyFill="1" applyBorder="1" applyAlignment="1">
      <alignment horizontal="center" vertical="center"/>
    </xf>
    <xf numFmtId="9" fontId="5" fillId="3" borderId="6" xfId="1" applyFont="1" applyFill="1" applyBorder="1" applyAlignment="1">
      <alignment horizontal="center" vertical="center"/>
    </xf>
    <xf numFmtId="0" fontId="5" fillId="4" borderId="8" xfId="0" quotePrefix="1" applyFont="1" applyFill="1" applyBorder="1" applyAlignment="1">
      <alignment horizontal="center" vertical="center"/>
    </xf>
    <xf numFmtId="166" fontId="5" fillId="4" borderId="30" xfId="0" applyNumberFormat="1" applyFont="1" applyFill="1" applyBorder="1" applyAlignment="1">
      <alignment horizontal="center" vertical="center"/>
    </xf>
    <xf numFmtId="0" fontId="2" fillId="0" borderId="64" xfId="0" applyFont="1" applyBorder="1" applyAlignment="1">
      <alignment vertical="center"/>
    </xf>
    <xf numFmtId="0" fontId="5" fillId="4" borderId="53" xfId="0" applyFont="1" applyFill="1" applyBorder="1" applyAlignment="1">
      <alignment horizontal="centerContinuous" vertical="center"/>
    </xf>
    <xf numFmtId="0" fontId="5" fillId="4" borderId="22" xfId="0" applyFont="1" applyFill="1" applyBorder="1" applyAlignment="1">
      <alignment horizontal="centerContinuous" vertical="center"/>
    </xf>
    <xf numFmtId="0" fontId="5" fillId="19" borderId="39" xfId="0" applyFont="1" applyFill="1" applyBorder="1" applyAlignment="1">
      <alignment horizontal="centerContinuous" vertical="center"/>
    </xf>
    <xf numFmtId="0" fontId="2" fillId="19" borderId="42" xfId="0" applyFont="1" applyFill="1" applyBorder="1" applyAlignment="1">
      <alignment horizontal="centerContinuous" vertical="center"/>
    </xf>
    <xf numFmtId="0" fontId="5" fillId="4" borderId="15" xfId="0" applyFont="1" applyFill="1" applyBorder="1" applyAlignment="1">
      <alignment horizontal="centerContinuous" vertical="center"/>
    </xf>
    <xf numFmtId="0" fontId="5" fillId="4" borderId="16" xfId="0" applyFont="1" applyFill="1" applyBorder="1" applyAlignment="1">
      <alignment horizontal="centerContinuous" vertical="center"/>
    </xf>
    <xf numFmtId="165" fontId="5" fillId="3" borderId="46" xfId="0" applyNumberFormat="1" applyFont="1" applyFill="1" applyBorder="1" applyAlignment="1">
      <alignment horizontal="center" vertical="center"/>
    </xf>
    <xf numFmtId="0" fontId="5" fillId="15" borderId="31" xfId="0" applyFont="1" applyFill="1" applyBorder="1" applyAlignment="1">
      <alignment horizontal="left" vertical="center" indent="1"/>
    </xf>
    <xf numFmtId="0" fontId="5" fillId="15" borderId="32" xfId="0" applyFont="1" applyFill="1" applyBorder="1" applyAlignment="1">
      <alignment vertical="center"/>
    </xf>
    <xf numFmtId="0" fontId="5" fillId="15" borderId="52" xfId="0" applyFont="1" applyFill="1" applyBorder="1" applyAlignment="1">
      <alignment horizontal="left" vertical="center" indent="1"/>
    </xf>
    <xf numFmtId="0" fontId="5" fillId="15" borderId="50" xfId="0" applyFont="1" applyFill="1" applyBorder="1" applyAlignment="1">
      <alignment vertical="center"/>
    </xf>
    <xf numFmtId="0" fontId="2" fillId="15" borderId="32" xfId="0" applyFont="1" applyFill="1" applyBorder="1" applyAlignment="1">
      <alignment vertical="center"/>
    </xf>
    <xf numFmtId="165" fontId="5" fillId="3" borderId="38" xfId="0" applyNumberFormat="1" applyFont="1" applyFill="1" applyBorder="1" applyAlignment="1">
      <alignment horizontal="center" vertical="center"/>
    </xf>
    <xf numFmtId="0" fontId="2" fillId="15" borderId="0" xfId="0" applyFont="1" applyFill="1" applyAlignment="1">
      <alignment vertical="center"/>
    </xf>
    <xf numFmtId="165" fontId="5" fillId="15" borderId="45" xfId="0" applyNumberFormat="1" applyFont="1" applyFill="1" applyBorder="1" applyAlignment="1">
      <alignment horizontal="center" vertical="center"/>
    </xf>
    <xf numFmtId="0" fontId="5" fillId="15" borderId="45" xfId="0" applyFont="1" applyFill="1" applyBorder="1" applyAlignment="1">
      <alignment vertical="center"/>
    </xf>
    <xf numFmtId="0" fontId="3" fillId="0" borderId="37" xfId="0" applyFont="1" applyBorder="1" applyAlignment="1">
      <alignment horizontal="left" vertical="center" indent="2"/>
    </xf>
    <xf numFmtId="0" fontId="2" fillId="15" borderId="41" xfId="0" applyFont="1" applyFill="1" applyBorder="1" applyAlignment="1">
      <alignment vertical="center"/>
    </xf>
    <xf numFmtId="0" fontId="40" fillId="0" borderId="0" xfId="0" applyFont="1" applyAlignment="1">
      <alignment vertical="center"/>
    </xf>
    <xf numFmtId="0" fontId="40" fillId="0" borderId="0" xfId="0" applyFont="1" applyAlignment="1">
      <alignment horizontal="right"/>
    </xf>
    <xf numFmtId="0" fontId="40" fillId="0" borderId="29" xfId="0" applyFont="1" applyBorder="1" applyAlignment="1">
      <alignment horizontal="center" wrapText="1"/>
    </xf>
    <xf numFmtId="0" fontId="5" fillId="26" borderId="93" xfId="0" applyFont="1" applyFill="1" applyBorder="1" applyAlignment="1">
      <alignment horizontal="left" vertical="center" indent="1"/>
    </xf>
    <xf numFmtId="0" fontId="5" fillId="26" borderId="90" xfId="0" applyFont="1" applyFill="1" applyBorder="1" applyAlignment="1">
      <alignment vertical="center"/>
    </xf>
    <xf numFmtId="0" fontId="2" fillId="26" borderId="90" xfId="0" applyFont="1" applyFill="1" applyBorder="1" applyAlignment="1">
      <alignment vertical="center"/>
    </xf>
    <xf numFmtId="0" fontId="2" fillId="26" borderId="94" xfId="0" applyFont="1" applyFill="1" applyBorder="1" applyAlignment="1">
      <alignment vertical="center"/>
    </xf>
    <xf numFmtId="0" fontId="5" fillId="26" borderId="64" xfId="0" applyFont="1" applyFill="1" applyBorder="1" applyAlignment="1">
      <alignment horizontal="left" vertical="center" indent="1"/>
    </xf>
    <xf numFmtId="0" fontId="5" fillId="26" borderId="0" xfId="0" applyFont="1" applyFill="1" applyAlignment="1">
      <alignment vertical="center"/>
    </xf>
    <xf numFmtId="165" fontId="5" fillId="26" borderId="43" xfId="0" applyNumberFormat="1" applyFont="1" applyFill="1" applyBorder="1" applyAlignment="1">
      <alignment horizontal="center" vertical="center"/>
    </xf>
    <xf numFmtId="9" fontId="9" fillId="26" borderId="27" xfId="1" applyFont="1" applyFill="1" applyBorder="1" applyAlignment="1">
      <alignment horizontal="center" vertical="center"/>
    </xf>
    <xf numFmtId="0" fontId="5" fillId="2" borderId="98" xfId="0" applyFont="1" applyFill="1" applyBorder="1" applyAlignment="1">
      <alignment horizontal="left" vertical="center" indent="1"/>
    </xf>
    <xf numFmtId="0" fontId="5" fillId="2" borderId="88" xfId="0" applyFont="1" applyFill="1" applyBorder="1" applyAlignment="1">
      <alignment vertical="center"/>
    </xf>
    <xf numFmtId="0" fontId="5" fillId="2" borderId="89" xfId="0" applyFont="1" applyFill="1" applyBorder="1" applyAlignment="1">
      <alignment vertical="center"/>
    </xf>
    <xf numFmtId="0" fontId="5" fillId="2" borderId="90" xfId="0" applyFont="1" applyFill="1" applyBorder="1" applyAlignment="1">
      <alignment vertical="center"/>
    </xf>
    <xf numFmtId="0" fontId="2" fillId="2" borderId="90" xfId="0" applyFont="1" applyFill="1" applyBorder="1" applyAlignment="1">
      <alignment vertical="center"/>
    </xf>
    <xf numFmtId="0" fontId="2" fillId="2" borderId="94" xfId="0" applyFont="1" applyFill="1" applyBorder="1" applyAlignment="1">
      <alignment vertical="center"/>
    </xf>
    <xf numFmtId="0" fontId="5" fillId="2" borderId="61" xfId="0" applyFont="1" applyFill="1" applyBorder="1" applyAlignment="1">
      <alignment horizontal="left" vertical="center" indent="1"/>
    </xf>
    <xf numFmtId="0" fontId="5" fillId="2" borderId="62" xfId="0" applyFont="1" applyFill="1" applyBorder="1" applyAlignment="1">
      <alignment vertical="center"/>
    </xf>
    <xf numFmtId="165" fontId="5" fillId="2" borderId="105" xfId="0" applyNumberFormat="1" applyFont="1" applyFill="1" applyBorder="1" applyAlignment="1">
      <alignment horizontal="center" vertical="center"/>
    </xf>
    <xf numFmtId="9" fontId="5" fillId="2" borderId="27" xfId="1" applyFont="1" applyFill="1" applyBorder="1" applyAlignment="1">
      <alignment horizontal="center" vertical="center"/>
    </xf>
    <xf numFmtId="0" fontId="5" fillId="19" borderId="31" xfId="0" applyFont="1" applyFill="1" applyBorder="1" applyAlignment="1">
      <alignment horizontal="left" vertical="center" indent="1"/>
    </xf>
    <xf numFmtId="0" fontId="5" fillId="19" borderId="32" xfId="0" applyFont="1" applyFill="1" applyBorder="1" applyAlignment="1">
      <alignment vertical="center"/>
    </xf>
    <xf numFmtId="0" fontId="2" fillId="19" borderId="32" xfId="0" applyFont="1" applyFill="1" applyBorder="1" applyAlignment="1">
      <alignment vertical="center"/>
    </xf>
    <xf numFmtId="0" fontId="5" fillId="19" borderId="52" xfId="0" applyFont="1" applyFill="1" applyBorder="1" applyAlignment="1">
      <alignment horizontal="left" vertical="center" indent="1"/>
    </xf>
    <xf numFmtId="0" fontId="5" fillId="19" borderId="50" xfId="0" applyFont="1" applyFill="1" applyBorder="1" applyAlignment="1">
      <alignment vertical="center"/>
    </xf>
    <xf numFmtId="0" fontId="5" fillId="19" borderId="45" xfId="0" applyFont="1" applyFill="1" applyBorder="1" applyAlignment="1">
      <alignment vertical="center"/>
    </xf>
    <xf numFmtId="165" fontId="5" fillId="19" borderId="132" xfId="0" applyNumberFormat="1" applyFont="1" applyFill="1" applyBorder="1" applyAlignment="1">
      <alignment horizontal="center" vertical="center"/>
    </xf>
    <xf numFmtId="9" fontId="5" fillId="19" borderId="27" xfId="1" applyFont="1" applyFill="1" applyBorder="1" applyAlignment="1">
      <alignment horizontal="center" vertical="center"/>
    </xf>
    <xf numFmtId="0" fontId="2" fillId="19" borderId="94" xfId="0" applyFont="1" applyFill="1" applyBorder="1" applyAlignment="1">
      <alignment vertical="center"/>
    </xf>
    <xf numFmtId="0" fontId="48" fillId="3" borderId="0" xfId="0" applyFont="1" applyFill="1" applyAlignment="1">
      <alignment horizontal="left" vertical="center" indent="1"/>
    </xf>
    <xf numFmtId="0" fontId="37" fillId="0" borderId="0" xfId="0" applyFont="1" applyAlignment="1">
      <alignment horizontal="right" vertical="center"/>
    </xf>
    <xf numFmtId="0" fontId="21" fillId="0" borderId="119" xfId="0" applyFont="1" applyBorder="1" applyAlignment="1">
      <alignment horizontal="center" vertical="center"/>
    </xf>
    <xf numFmtId="0" fontId="21" fillId="0" borderId="120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left" vertical="center" wrapText="1" indent="1"/>
    </xf>
    <xf numFmtId="0" fontId="3" fillId="0" borderId="32" xfId="0" applyFont="1" applyBorder="1" applyAlignment="1">
      <alignment horizontal="left" vertical="center" wrapText="1" indent="1"/>
    </xf>
    <xf numFmtId="0" fontId="3" fillId="0" borderId="52" xfId="0" applyFont="1" applyBorder="1" applyAlignment="1">
      <alignment horizontal="left" vertical="center" wrapText="1" indent="1"/>
    </xf>
    <xf numFmtId="0" fontId="3" fillId="0" borderId="50" xfId="0" applyFont="1" applyBorder="1" applyAlignment="1">
      <alignment horizontal="left" vertical="center" wrapText="1" indent="1"/>
    </xf>
    <xf numFmtId="0" fontId="13" fillId="13" borderId="55" xfId="0" applyFont="1" applyFill="1" applyBorder="1" applyAlignment="1">
      <alignment horizontal="left" vertical="center" wrapText="1" indent="1"/>
    </xf>
    <xf numFmtId="0" fontId="13" fillId="13" borderId="56" xfId="0" applyFont="1" applyFill="1" applyBorder="1" applyAlignment="1">
      <alignment horizontal="left" vertical="center" wrapText="1" indent="1"/>
    </xf>
    <xf numFmtId="0" fontId="13" fillId="13" borderId="80" xfId="0" applyFont="1" applyFill="1" applyBorder="1" applyAlignment="1">
      <alignment horizontal="left" vertical="center" wrapText="1" indent="1"/>
    </xf>
    <xf numFmtId="0" fontId="13" fillId="13" borderId="57" xfId="0" applyFont="1" applyFill="1" applyBorder="1" applyAlignment="1">
      <alignment horizontal="left" vertical="center" wrapText="1" indent="1"/>
    </xf>
    <xf numFmtId="0" fontId="13" fillId="13" borderId="0" xfId="0" applyFont="1" applyFill="1" applyAlignment="1">
      <alignment horizontal="left" vertical="center" wrapText="1" indent="1"/>
    </xf>
    <xf numFmtId="0" fontId="13" fillId="13" borderId="2" xfId="0" applyFont="1" applyFill="1" applyBorder="1" applyAlignment="1">
      <alignment horizontal="left" vertical="center" wrapText="1" indent="1"/>
    </xf>
    <xf numFmtId="0" fontId="13" fillId="13" borderId="58" xfId="0" applyFont="1" applyFill="1" applyBorder="1" applyAlignment="1">
      <alignment horizontal="left" vertical="center" wrapText="1" indent="1"/>
    </xf>
    <xf numFmtId="0" fontId="13" fillId="13" borderId="59" xfId="0" applyFont="1" applyFill="1" applyBorder="1" applyAlignment="1">
      <alignment horizontal="left" vertical="center" wrapText="1" indent="1"/>
    </xf>
    <xf numFmtId="0" fontId="13" fillId="13" borderId="81" xfId="0" applyFont="1" applyFill="1" applyBorder="1" applyAlignment="1">
      <alignment horizontal="left" vertical="center" wrapText="1" indent="1"/>
    </xf>
    <xf numFmtId="0" fontId="2" fillId="8" borderId="28" xfId="0" applyFont="1" applyFill="1" applyBorder="1" applyAlignment="1">
      <alignment horizontal="left" vertical="center" indent="1"/>
    </xf>
    <xf numFmtId="0" fontId="2" fillId="8" borderId="6" xfId="0" applyFont="1" applyFill="1" applyBorder="1" applyAlignment="1">
      <alignment horizontal="left" vertical="center" indent="1"/>
    </xf>
    <xf numFmtId="0" fontId="21" fillId="0" borderId="117" xfId="0" applyFont="1" applyBorder="1" applyAlignment="1">
      <alignment horizontal="center" vertical="center"/>
    </xf>
    <xf numFmtId="0" fontId="21" fillId="0" borderId="118" xfId="0" applyFont="1" applyBorder="1" applyAlignment="1">
      <alignment horizontal="center" vertical="center"/>
    </xf>
    <xf numFmtId="0" fontId="2" fillId="8" borderId="68" xfId="0" applyFont="1" applyFill="1" applyBorder="1" applyAlignment="1">
      <alignment horizontal="center" vertical="center"/>
    </xf>
    <xf numFmtId="0" fontId="2" fillId="8" borderId="45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0" borderId="66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3" fillId="0" borderId="64" xfId="0" applyFont="1" applyBorder="1" applyAlignment="1">
      <alignment horizontal="left" vertical="center" wrapText="1" indent="1"/>
    </xf>
    <xf numFmtId="0" fontId="3" fillId="0" borderId="0" xfId="0" applyFont="1" applyAlignment="1">
      <alignment horizontal="left" vertical="center" indent="1"/>
    </xf>
    <xf numFmtId="0" fontId="3" fillId="0" borderId="67" xfId="0" applyFont="1" applyBorder="1" applyAlignment="1">
      <alignment horizontal="left" vertical="center" indent="1"/>
    </xf>
    <xf numFmtId="0" fontId="3" fillId="0" borderId="61" xfId="0" applyFont="1" applyBorder="1" applyAlignment="1">
      <alignment horizontal="left" vertical="center" indent="1"/>
    </xf>
    <xf numFmtId="0" fontId="3" fillId="0" borderId="62" xfId="0" applyFont="1" applyBorder="1" applyAlignment="1">
      <alignment horizontal="left" vertical="center" indent="1"/>
    </xf>
    <xf numFmtId="0" fontId="3" fillId="0" borderId="46" xfId="0" applyFont="1" applyBorder="1" applyAlignment="1">
      <alignment horizontal="left" vertical="center" indent="1"/>
    </xf>
    <xf numFmtId="3" fontId="5" fillId="3" borderId="126" xfId="0" applyNumberFormat="1" applyFont="1" applyFill="1" applyBorder="1" applyAlignment="1">
      <alignment horizontal="center" vertical="center"/>
    </xf>
    <xf numFmtId="3" fontId="5" fillId="3" borderId="27" xfId="0" applyNumberFormat="1" applyFont="1" applyFill="1" applyBorder="1" applyAlignment="1">
      <alignment horizontal="center" vertical="center"/>
    </xf>
    <xf numFmtId="0" fontId="15" fillId="0" borderId="64" xfId="0" applyFont="1" applyBorder="1" applyAlignment="1">
      <alignment horizontal="center" vertical="center" wrapText="1"/>
    </xf>
    <xf numFmtId="0" fontId="15" fillId="0" borderId="61" xfId="0" applyFont="1" applyBorder="1" applyAlignment="1">
      <alignment horizontal="center" vertical="center" wrapText="1"/>
    </xf>
    <xf numFmtId="3" fontId="5" fillId="3" borderId="42" xfId="0" applyNumberFormat="1" applyFont="1" applyFill="1" applyBorder="1" applyAlignment="1">
      <alignment horizontal="center" vertical="center"/>
    </xf>
    <xf numFmtId="3" fontId="5" fillId="3" borderId="13" xfId="0" applyNumberFormat="1" applyFont="1" applyFill="1" applyBorder="1" applyAlignment="1">
      <alignment horizontal="center" vertical="center"/>
    </xf>
    <xf numFmtId="0" fontId="42" fillId="0" borderId="64" xfId="0" applyFont="1" applyBorder="1" applyAlignment="1">
      <alignment horizontal="left" vertical="center" wrapText="1" indent="1"/>
    </xf>
    <xf numFmtId="0" fontId="42" fillId="0" borderId="0" xfId="0" applyFont="1" applyAlignment="1">
      <alignment horizontal="left" vertical="center" wrapText="1" indent="1"/>
    </xf>
    <xf numFmtId="0" fontId="42" fillId="0" borderId="128" xfId="0" applyFont="1" applyBorder="1" applyAlignment="1">
      <alignment horizontal="left" vertical="center" wrapText="1" indent="1"/>
    </xf>
    <xf numFmtId="0" fontId="42" fillId="0" borderId="127" xfId="0" applyFont="1" applyBorder="1" applyAlignment="1">
      <alignment horizontal="left" vertical="center" wrapText="1" indent="1"/>
    </xf>
    <xf numFmtId="0" fontId="42" fillId="0" borderId="52" xfId="0" applyFont="1" applyBorder="1" applyAlignment="1">
      <alignment horizontal="left" vertical="center" wrapText="1" indent="1"/>
    </xf>
    <xf numFmtId="0" fontId="42" fillId="0" borderId="50" xfId="0" applyFont="1" applyBorder="1" applyAlignment="1">
      <alignment horizontal="left" vertical="center" wrapText="1" indent="1"/>
    </xf>
    <xf numFmtId="3" fontId="9" fillId="3" borderId="43" xfId="0" applyNumberFormat="1" applyFont="1" applyFill="1" applyBorder="1" applyAlignment="1">
      <alignment horizontal="center" vertical="center"/>
    </xf>
    <xf numFmtId="3" fontId="9" fillId="3" borderId="126" xfId="0" applyNumberFormat="1" applyFont="1" applyFill="1" applyBorder="1" applyAlignment="1">
      <alignment horizontal="center" vertical="center"/>
    </xf>
    <xf numFmtId="3" fontId="9" fillId="3" borderId="13" xfId="0" applyNumberFormat="1" applyFont="1" applyFill="1" applyBorder="1" applyAlignment="1">
      <alignment horizontal="center" vertical="center"/>
    </xf>
    <xf numFmtId="0" fontId="15" fillId="0" borderId="42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9" fontId="28" fillId="0" borderId="82" xfId="1" applyFont="1" applyBorder="1" applyAlignment="1">
      <alignment horizontal="center" vertical="center"/>
    </xf>
    <xf numFmtId="9" fontId="28" fillId="0" borderId="83" xfId="1" applyFont="1" applyBorder="1" applyAlignment="1">
      <alignment horizontal="center" vertical="center"/>
    </xf>
    <xf numFmtId="9" fontId="28" fillId="0" borderId="84" xfId="1" applyFont="1" applyBorder="1" applyAlignment="1">
      <alignment horizontal="center" vertical="center"/>
    </xf>
    <xf numFmtId="0" fontId="15" fillId="24" borderId="42" xfId="0" applyFont="1" applyFill="1" applyBorder="1" applyAlignment="1">
      <alignment horizontal="center" vertical="center" wrapText="1"/>
    </xf>
    <xf numFmtId="0" fontId="15" fillId="24" borderId="43" xfId="0" applyFont="1" applyFill="1" applyBorder="1" applyAlignment="1">
      <alignment horizontal="center" vertical="center" wrapText="1"/>
    </xf>
    <xf numFmtId="0" fontId="15" fillId="24" borderId="13" xfId="0" applyFont="1" applyFill="1" applyBorder="1" applyAlignment="1">
      <alignment horizontal="center" vertical="center" wrapText="1"/>
    </xf>
    <xf numFmtId="0" fontId="15" fillId="0" borderId="51" xfId="0" applyFont="1" applyBorder="1" applyAlignment="1">
      <alignment horizontal="left" vertical="center" indent="1"/>
    </xf>
    <xf numFmtId="0" fontId="15" fillId="0" borderId="30" xfId="0" applyFont="1" applyBorder="1" applyAlignment="1">
      <alignment horizontal="left" vertical="center" indent="1"/>
    </xf>
    <xf numFmtId="0" fontId="15" fillId="0" borderId="48" xfId="0" applyFont="1" applyBorder="1" applyAlignment="1">
      <alignment horizontal="left" vertical="center" indent="1"/>
    </xf>
    <xf numFmtId="0" fontId="15" fillId="0" borderId="109" xfId="0" applyFont="1" applyBorder="1" applyAlignment="1">
      <alignment horizontal="center" vertical="center" wrapText="1"/>
    </xf>
    <xf numFmtId="0" fontId="15" fillId="0" borderId="110" xfId="0" applyFont="1" applyBorder="1" applyAlignment="1">
      <alignment horizontal="center" vertical="center" wrapText="1"/>
    </xf>
    <xf numFmtId="0" fontId="15" fillId="0" borderId="113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15" fillId="0" borderId="49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62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left" vertical="center" wrapText="1" indent="1"/>
    </xf>
    <xf numFmtId="0" fontId="5" fillId="0" borderId="6" xfId="0" applyFont="1" applyBorder="1" applyAlignment="1">
      <alignment horizontal="left" vertical="center" wrapText="1" indent="1"/>
    </xf>
    <xf numFmtId="0" fontId="5" fillId="0" borderId="23" xfId="0" applyFont="1" applyBorder="1" applyAlignment="1">
      <alignment horizontal="left" vertical="center" wrapText="1" indent="1"/>
    </xf>
    <xf numFmtId="0" fontId="5" fillId="0" borderId="1" xfId="0" applyFont="1" applyBorder="1" applyAlignment="1">
      <alignment horizontal="left" vertical="center" wrapText="1" indent="1"/>
    </xf>
    <xf numFmtId="0" fontId="5" fillId="0" borderId="24" xfId="0" applyFont="1" applyBorder="1" applyAlignment="1">
      <alignment horizontal="left" vertical="center" wrapText="1" indent="1"/>
    </xf>
    <xf numFmtId="0" fontId="5" fillId="0" borderId="19" xfId="0" applyFont="1" applyBorder="1" applyAlignment="1">
      <alignment horizontal="left" vertical="center" wrapText="1" indent="1"/>
    </xf>
    <xf numFmtId="0" fontId="5" fillId="0" borderId="108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10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left" vertical="center" indent="1"/>
    </xf>
    <xf numFmtId="0" fontId="2" fillId="2" borderId="33" xfId="0" applyFont="1" applyFill="1" applyBorder="1" applyAlignment="1">
      <alignment horizontal="left" vertical="center" indent="1"/>
    </xf>
    <xf numFmtId="0" fontId="2" fillId="2" borderId="38" xfId="0" applyFont="1" applyFill="1" applyBorder="1" applyAlignment="1">
      <alignment horizontal="left" vertical="center" indent="1"/>
    </xf>
    <xf numFmtId="0" fontId="2" fillId="8" borderId="39" xfId="0" applyFont="1" applyFill="1" applyBorder="1" applyAlignment="1">
      <alignment horizontal="left" vertical="center" indent="1"/>
    </xf>
    <xf numFmtId="0" fontId="2" fillId="8" borderId="40" xfId="0" applyFont="1" applyFill="1" applyBorder="1" applyAlignment="1">
      <alignment horizontal="left" vertical="center" indent="1"/>
    </xf>
    <xf numFmtId="0" fontId="2" fillId="8" borderId="41" xfId="0" applyFont="1" applyFill="1" applyBorder="1" applyAlignment="1">
      <alignment horizontal="left" vertical="center" indent="1"/>
    </xf>
    <xf numFmtId="3" fontId="2" fillId="8" borderId="47" xfId="0" applyNumberFormat="1" applyFont="1" applyFill="1" applyBorder="1" applyAlignment="1">
      <alignment horizontal="center" vertical="center"/>
    </xf>
    <xf numFmtId="3" fontId="2" fillId="8" borderId="48" xfId="0" applyNumberFormat="1" applyFont="1" applyFill="1" applyBorder="1" applyAlignment="1">
      <alignment horizontal="center" vertical="center"/>
    </xf>
    <xf numFmtId="0" fontId="5" fillId="0" borderId="64" xfId="0" applyFont="1" applyBorder="1" applyAlignment="1">
      <alignment horizontal="left" vertical="center" wrapText="1" indent="1"/>
    </xf>
    <xf numFmtId="0" fontId="5" fillId="0" borderId="0" xfId="0" applyFont="1" applyAlignment="1">
      <alignment horizontal="left" vertical="center" wrapText="1" indent="1"/>
    </xf>
    <xf numFmtId="0" fontId="5" fillId="0" borderId="49" xfId="0" applyFont="1" applyBorder="1" applyAlignment="1">
      <alignment horizontal="left" vertical="center" wrapText="1" indent="1"/>
    </xf>
    <xf numFmtId="0" fontId="5" fillId="0" borderId="52" xfId="0" applyFont="1" applyBorder="1" applyAlignment="1">
      <alignment horizontal="left" vertical="center" wrapText="1" indent="1"/>
    </xf>
    <xf numFmtId="0" fontId="5" fillId="0" borderId="50" xfId="0" applyFont="1" applyBorder="1" applyAlignment="1">
      <alignment horizontal="left" vertical="center" wrapText="1" indent="1"/>
    </xf>
    <xf numFmtId="0" fontId="5" fillId="0" borderId="65" xfId="0" applyFont="1" applyBorder="1" applyAlignment="1">
      <alignment horizontal="left" vertical="center" wrapText="1" indent="1"/>
    </xf>
    <xf numFmtId="0" fontId="9" fillId="0" borderId="67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0" fontId="5" fillId="4" borderId="51" xfId="0" applyFont="1" applyFill="1" applyBorder="1" applyAlignment="1">
      <alignment horizontal="center" vertical="center"/>
    </xf>
    <xf numFmtId="0" fontId="5" fillId="4" borderId="30" xfId="0" applyFont="1" applyFill="1" applyBorder="1" applyAlignment="1">
      <alignment horizontal="center" vertical="center"/>
    </xf>
    <xf numFmtId="0" fontId="5" fillId="0" borderId="42" xfId="0" applyFont="1" applyBorder="1" applyAlignment="1">
      <alignment horizontal="center" vertical="center" wrapText="1"/>
    </xf>
    <xf numFmtId="0" fontId="5" fillId="0" borderId="64" xfId="0" applyFont="1" applyBorder="1" applyAlignment="1">
      <alignment horizontal="center" vertical="center" wrapText="1"/>
    </xf>
    <xf numFmtId="0" fontId="5" fillId="0" borderId="52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2" fillId="8" borderId="70" xfId="0" applyFont="1" applyFill="1" applyBorder="1" applyAlignment="1">
      <alignment horizontal="center" vertical="center"/>
    </xf>
    <xf numFmtId="0" fontId="2" fillId="8" borderId="40" xfId="0" applyFont="1" applyFill="1" applyBorder="1" applyAlignment="1">
      <alignment horizontal="center" vertical="center"/>
    </xf>
    <xf numFmtId="0" fontId="2" fillId="8" borderId="41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horizontal="left" vertical="center" indent="1"/>
    </xf>
    <xf numFmtId="0" fontId="2" fillId="3" borderId="35" xfId="0" applyFont="1" applyFill="1" applyBorder="1" applyAlignment="1">
      <alignment horizontal="left" vertical="center" indent="1"/>
    </xf>
    <xf numFmtId="0" fontId="2" fillId="3" borderId="36" xfId="0" applyFont="1" applyFill="1" applyBorder="1" applyAlignment="1">
      <alignment horizontal="left" vertical="center" indent="1"/>
    </xf>
    <xf numFmtId="0" fontId="2" fillId="8" borderId="50" xfId="0" applyFont="1" applyFill="1" applyBorder="1" applyAlignment="1">
      <alignment horizontal="center" vertical="center"/>
    </xf>
    <xf numFmtId="0" fontId="40" fillId="0" borderId="0" xfId="0" applyFont="1" applyAlignment="1">
      <alignment horizontal="right" vertical="center"/>
    </xf>
    <xf numFmtId="0" fontId="5" fillId="0" borderId="4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3" borderId="115" xfId="0" applyFont="1" applyFill="1" applyBorder="1" applyAlignment="1">
      <alignment horizontal="center" vertical="center" wrapText="1"/>
    </xf>
    <xf numFmtId="0" fontId="5" fillId="3" borderId="131" xfId="0" applyFont="1" applyFill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 wrapText="1"/>
    </xf>
    <xf numFmtId="0" fontId="2" fillId="8" borderId="37" xfId="0" applyFont="1" applyFill="1" applyBorder="1" applyAlignment="1">
      <alignment horizontal="left" vertical="center" indent="1"/>
    </xf>
    <xf numFmtId="0" fontId="2" fillId="8" borderId="33" xfId="0" applyFont="1" applyFill="1" applyBorder="1" applyAlignment="1">
      <alignment horizontal="left" vertical="center" indent="1"/>
    </xf>
    <xf numFmtId="0" fontId="2" fillId="8" borderId="4" xfId="0" applyFont="1" applyFill="1" applyBorder="1" applyAlignment="1">
      <alignment horizontal="left" vertical="center" indent="1"/>
    </xf>
    <xf numFmtId="0" fontId="2" fillId="8" borderId="24" xfId="0" applyFont="1" applyFill="1" applyBorder="1" applyAlignment="1">
      <alignment horizontal="left" vertical="center" indent="1"/>
    </xf>
    <xf numFmtId="0" fontId="2" fillId="8" borderId="19" xfId="0" applyFont="1" applyFill="1" applyBorder="1" applyAlignment="1">
      <alignment horizontal="left" vertical="center" indent="1"/>
    </xf>
    <xf numFmtId="0" fontId="2" fillId="8" borderId="114" xfId="0" applyFont="1" applyFill="1" applyBorder="1" applyAlignment="1">
      <alignment horizontal="left" vertical="center" indent="1"/>
    </xf>
    <xf numFmtId="0" fontId="2" fillId="8" borderId="115" xfId="0" applyFont="1" applyFill="1" applyBorder="1" applyAlignment="1">
      <alignment horizontal="left" vertical="center" indent="1"/>
    </xf>
    <xf numFmtId="0" fontId="5" fillId="4" borderId="7" xfId="0" quotePrefix="1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2" fillId="8" borderId="23" xfId="0" applyFont="1" applyFill="1" applyBorder="1" applyAlignment="1">
      <alignment horizontal="left" vertical="center" indent="1"/>
    </xf>
    <xf numFmtId="0" fontId="2" fillId="8" borderId="1" xfId="0" applyFont="1" applyFill="1" applyBorder="1" applyAlignment="1">
      <alignment horizontal="left" vertical="center" indent="1"/>
    </xf>
    <xf numFmtId="0" fontId="5" fillId="0" borderId="31" xfId="0" applyFont="1" applyBorder="1" applyAlignment="1">
      <alignment horizontal="center" vertical="center" wrapText="1"/>
    </xf>
    <xf numFmtId="0" fontId="9" fillId="0" borderId="108" xfId="0" applyFont="1" applyBorder="1" applyAlignment="1">
      <alignment horizontal="center" vertical="center" wrapText="1"/>
    </xf>
    <xf numFmtId="9" fontId="28" fillId="0" borderId="133" xfId="1" applyFont="1" applyBorder="1" applyAlignment="1">
      <alignment horizontal="center" vertical="center"/>
    </xf>
    <xf numFmtId="9" fontId="28" fillId="0" borderId="134" xfId="1" applyFont="1" applyBorder="1" applyAlignment="1">
      <alignment horizontal="center" vertical="center"/>
    </xf>
    <xf numFmtId="9" fontId="28" fillId="0" borderId="135" xfId="1" applyFont="1" applyBorder="1" applyAlignment="1">
      <alignment horizontal="center" vertical="center"/>
    </xf>
    <xf numFmtId="0" fontId="42" fillId="0" borderId="61" xfId="0" applyFont="1" applyBorder="1" applyAlignment="1">
      <alignment horizontal="left" vertical="center" wrapText="1" indent="1"/>
    </xf>
    <xf numFmtId="0" fontId="42" fillId="0" borderId="62" xfId="0" applyFont="1" applyBorder="1" applyAlignment="1">
      <alignment horizontal="left" vertical="center" wrapText="1" indent="1"/>
    </xf>
    <xf numFmtId="3" fontId="9" fillId="3" borderId="27" xfId="0" applyNumberFormat="1" applyFont="1" applyFill="1" applyBorder="1" applyAlignment="1">
      <alignment horizontal="center" vertical="center"/>
    </xf>
    <xf numFmtId="0" fontId="13" fillId="13" borderId="136" xfId="0" applyFont="1" applyFill="1" applyBorder="1" applyAlignment="1">
      <alignment horizontal="left" vertical="center" wrapText="1" indent="1"/>
    </xf>
    <xf numFmtId="0" fontId="13" fillId="13" borderId="71" xfId="0" applyFont="1" applyFill="1" applyBorder="1" applyAlignment="1">
      <alignment horizontal="left" vertical="center" wrapText="1" indent="1"/>
    </xf>
    <xf numFmtId="0" fontId="13" fillId="13" borderId="137" xfId="0" applyFont="1" applyFill="1" applyBorder="1" applyAlignment="1">
      <alignment horizontal="left" vertical="center" wrapText="1" indent="1"/>
    </xf>
  </cellXfs>
  <cellStyles count="2">
    <cellStyle name="Normal" xfId="0" builtinId="0"/>
    <cellStyle name="Pourcentage" xfId="1" builtinId="5"/>
  </cellStyles>
  <dxfs count="54">
    <dxf>
      <font>
        <color theme="9" tint="-0.499984740745262"/>
      </font>
      <fill>
        <patternFill>
          <bgColor theme="9" tint="0.79998168889431442"/>
        </patternFill>
      </fill>
    </dxf>
    <dxf>
      <font>
        <color rgb="FF764300"/>
      </font>
      <fill>
        <patternFill>
          <bgColor rgb="FFFFEACD"/>
        </patternFill>
      </fill>
    </dxf>
    <dxf>
      <font>
        <color theme="5" tint="-0.499984740745262"/>
      </font>
      <fill>
        <patternFill>
          <bgColor theme="5" tint="0.79998168889431442"/>
        </patternFill>
      </fill>
    </dxf>
    <dxf>
      <font>
        <color rgb="FF2F3C0C"/>
      </font>
      <fill>
        <patternFill>
          <bgColor rgb="FFEDF6D2"/>
        </patternFill>
      </fill>
    </dxf>
    <dxf>
      <font>
        <color theme="8" tint="-0.499984740745262"/>
      </font>
      <fill>
        <patternFill>
          <bgColor rgb="FFFEE6CE"/>
        </patternFill>
      </fill>
    </dxf>
    <dxf>
      <fill>
        <patternFill patternType="solid">
          <fgColor auto="1"/>
          <bgColor rgb="FFFFFFFF"/>
        </patternFill>
      </fill>
    </dxf>
    <dxf>
      <font>
        <color theme="5" tint="-0.499984740745262"/>
      </font>
      <fill>
        <patternFill>
          <bgColor theme="5" tint="0.79998168889431442"/>
        </patternFill>
      </fill>
    </dxf>
    <dxf>
      <font>
        <color rgb="FF764300"/>
      </font>
      <fill>
        <patternFill>
          <bgColor rgb="FFFFEACD"/>
        </patternFill>
      </fill>
    </dxf>
    <dxf>
      <font>
        <color rgb="FF2F3C0C"/>
      </font>
      <fill>
        <patternFill>
          <bgColor rgb="FFEDF6D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theme="4" tint="-0.499984740745262"/>
      </font>
      <fill>
        <patternFill>
          <bgColor theme="4" tint="0.79998168889431442"/>
        </patternFill>
      </fill>
    </dxf>
    <dxf>
      <fill>
        <patternFill patternType="gray0625">
          <fgColor theme="0" tint="-0.89996032593768116"/>
          <bgColor rgb="FFFFFFFF"/>
        </patternFill>
      </fill>
    </dxf>
    <dxf>
      <font>
        <color theme="8" tint="-0.499984740745262"/>
      </font>
      <fill>
        <patternFill>
          <bgColor rgb="FFFEE6CE"/>
        </patternFill>
      </fill>
    </dxf>
    <dxf>
      <font>
        <color theme="8" tint="-0.499984740745262"/>
      </font>
      <fill>
        <patternFill>
          <bgColor rgb="FFFEE6CE"/>
        </patternFill>
      </fill>
    </dxf>
    <dxf>
      <font>
        <color theme="8" tint="-0.499984740745262"/>
      </font>
      <fill>
        <patternFill>
          <bgColor rgb="FFFEE6CE"/>
        </patternFill>
      </fill>
    </dxf>
    <dxf>
      <font>
        <color theme="8" tint="-0.499984740745262"/>
      </font>
      <fill>
        <patternFill>
          <bgColor rgb="FFFEE6CE"/>
        </patternFill>
      </fill>
    </dxf>
    <dxf>
      <font>
        <color theme="8" tint="-0.499984740745262"/>
      </font>
      <fill>
        <patternFill>
          <bgColor rgb="FFFEE6CE"/>
        </patternFill>
      </fill>
    </dxf>
    <dxf>
      <font>
        <color theme="8" tint="-0.499984740745262"/>
      </font>
      <fill>
        <patternFill>
          <bgColor rgb="FFFEE6CE"/>
        </patternFill>
      </fill>
    </dxf>
    <dxf>
      <fill>
        <patternFill>
          <bgColor theme="3" tint="0.89996032593768116"/>
        </patternFill>
      </fill>
    </dxf>
    <dxf>
      <fill>
        <patternFill patternType="gray0625">
          <fgColor auto="1"/>
          <bgColor theme="0"/>
        </patternFill>
      </fill>
    </dxf>
    <dxf>
      <fill>
        <patternFill patternType="gray0625">
          <fgColor theme="0" tint="-0.89996032593768116"/>
          <bgColor rgb="FFFFFFFF"/>
        </patternFill>
      </fill>
    </dxf>
    <dxf>
      <font>
        <color theme="8" tint="-0.499984740745262"/>
      </font>
      <fill>
        <patternFill>
          <bgColor rgb="FFFEE6CE"/>
        </patternFill>
      </fill>
    </dxf>
    <dxf>
      <fill>
        <patternFill>
          <bgColor theme="0"/>
        </patternFill>
      </fill>
    </dxf>
    <dxf>
      <font>
        <color theme="8" tint="-0.499984740745262"/>
      </font>
      <fill>
        <patternFill>
          <bgColor rgb="FFFEE6CE"/>
        </patternFill>
      </fill>
    </dxf>
    <dxf>
      <fill>
        <patternFill patternType="solid">
          <fgColor auto="1"/>
          <bgColor rgb="FFFFFFFF"/>
        </patternFill>
      </fill>
    </dxf>
    <dxf>
      <fill>
        <patternFill patternType="none">
          <bgColor auto="1"/>
        </patternFill>
      </fill>
    </dxf>
    <dxf>
      <font>
        <b val="0"/>
        <i/>
      </font>
    </dxf>
    <dxf>
      <font>
        <strike val="0"/>
        <color theme="8" tint="-0.499984740745262"/>
      </font>
      <fill>
        <patternFill>
          <bgColor rgb="FFFEE6CE"/>
        </patternFill>
      </fill>
    </dxf>
    <dxf>
      <fill>
        <patternFill patternType="gray0625">
          <fgColor theme="0" tint="-0.89996032593768116"/>
          <bgColor rgb="FFFFFFFF"/>
        </patternFill>
      </fill>
    </dxf>
    <dxf>
      <fill>
        <patternFill patternType="solid">
          <fgColor auto="1"/>
          <bgColor rgb="FFFFFFFF"/>
        </patternFill>
      </fill>
    </dxf>
    <dxf>
      <font>
        <color rgb="FFFFFFFF"/>
      </font>
    </dxf>
    <dxf>
      <font>
        <color theme="8" tint="-0.499984740745262"/>
      </font>
      <fill>
        <patternFill>
          <bgColor rgb="FFFEE6CE"/>
        </patternFill>
      </fill>
    </dxf>
    <dxf>
      <font>
        <color theme="5" tint="-0.499984740745262"/>
      </font>
      <fill>
        <patternFill>
          <bgColor theme="5" tint="0.79998168889431442"/>
        </patternFill>
      </fill>
    </dxf>
    <dxf>
      <font>
        <color rgb="FF2F3C0C"/>
      </font>
      <fill>
        <patternFill>
          <bgColor rgb="FFEDF6D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764300"/>
      </font>
      <fill>
        <patternFill>
          <bgColor rgb="FFFFEACD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2F3C0C"/>
      </font>
      <fill>
        <patternFill>
          <bgColor rgb="FFEDF6D2"/>
        </patternFill>
      </fill>
    </dxf>
    <dxf>
      <font>
        <color rgb="FF764300"/>
      </font>
      <fill>
        <patternFill>
          <bgColor rgb="FFFFEACD"/>
        </patternFill>
      </fill>
    </dxf>
    <dxf>
      <font>
        <color theme="5" tint="-0.499984740745262"/>
      </font>
      <fill>
        <patternFill>
          <bgColor theme="5" tint="0.79998168889431442"/>
        </patternFill>
      </fill>
    </dxf>
    <dxf>
      <font>
        <color theme="8" tint="-0.499984740745262"/>
      </font>
      <fill>
        <patternFill>
          <bgColor rgb="FFFEE6CE"/>
        </patternFill>
      </fill>
    </dxf>
    <dxf>
      <font>
        <color theme="8" tint="-0.499984740745262"/>
      </font>
      <fill>
        <patternFill>
          <bgColor rgb="FFFEE6CE"/>
        </patternFill>
      </fill>
    </dxf>
    <dxf>
      <fill>
        <patternFill>
          <bgColor theme="3" tint="0.89996032593768116"/>
        </patternFill>
      </fill>
    </dxf>
    <dxf>
      <fill>
        <patternFill>
          <bgColor theme="4" tint="0.79998168889431442"/>
        </patternFill>
      </fill>
    </dxf>
    <dxf>
      <fill>
        <patternFill>
          <bgColor theme="3" tint="0.89996032593768116"/>
        </patternFill>
      </fill>
    </dxf>
    <dxf>
      <font>
        <b val="0"/>
        <i/>
        <color auto="1"/>
      </font>
    </dxf>
    <dxf>
      <fill>
        <patternFill patternType="gray0625">
          <fgColor theme="0" tint="-0.89996032593768116"/>
          <bgColor rgb="FFFFFFFF"/>
        </patternFill>
      </fill>
    </dxf>
    <dxf>
      <font>
        <color theme="8" tint="-0.499984740745262"/>
      </font>
      <fill>
        <patternFill>
          <bgColor rgb="FFFEE6CE"/>
        </patternFill>
      </fill>
    </dxf>
    <dxf>
      <font>
        <color rgb="FFFFFFFF"/>
      </font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font>
        <color theme="8" tint="-0.499984740745262"/>
      </font>
      <fill>
        <patternFill>
          <bgColor rgb="FFFEE6CE"/>
        </patternFill>
      </fill>
    </dxf>
    <dxf>
      <font>
        <color theme="4" tint="-0.499984740745262"/>
      </font>
      <fill>
        <patternFill>
          <bgColor theme="4" tint="0.79998168889431442"/>
        </patternFill>
      </fill>
    </dxf>
    <dxf>
      <fill>
        <patternFill patternType="solid">
          <fgColor auto="1"/>
          <bgColor rgb="FFFFFFFF"/>
        </patternFill>
      </fill>
    </dxf>
    <dxf>
      <font>
        <b val="0"/>
        <i/>
      </font>
    </dxf>
    <dxf>
      <fill>
        <patternFill patternType="solid">
          <fgColor auto="1"/>
          <bgColor rgb="FFFFFFFF"/>
        </patternFill>
      </fill>
    </dxf>
  </dxfs>
  <tableStyles count="0" defaultTableStyle="TableStyleMedium2" defaultPivotStyle="PivotStyleLight16"/>
  <colors>
    <mruColors>
      <color rgb="FFE73088"/>
      <color rgb="FFFFFFFF"/>
      <color rgb="FFFEE6CE"/>
      <color rgb="FF8398A9"/>
      <color rgb="FFFFD7CC"/>
      <color rgb="FFFF99FF"/>
      <color rgb="FFCE186F"/>
      <color rgb="FF9933FF"/>
      <color rgb="FFFAD2E5"/>
      <color rgb="FFFCBB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1.gif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1</xdr:rowOff>
    </xdr:from>
    <xdr:to>
      <xdr:col>2</xdr:col>
      <xdr:colOff>454850</xdr:colOff>
      <xdr:row>11</xdr:row>
      <xdr:rowOff>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63D61B7D-9E40-4070-9B4A-EFD4ECF884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285751"/>
          <a:ext cx="1521650" cy="2228849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11</xdr:col>
      <xdr:colOff>1</xdr:colOff>
      <xdr:row>2</xdr:row>
      <xdr:rowOff>0</xdr:rowOff>
    </xdr:from>
    <xdr:ext cx="6400799" cy="3829050"/>
    <xdr:pic>
      <xdr:nvPicPr>
        <xdr:cNvPr id="3" name="Image 2" descr="K:\DEI\02 POLE EAU DANS LA VILLE\01_PARISPLUIE\03_REVISION ZONAGE PLUVIAL\03_Projet documents révisés\Cartes\Octobre 2025\ZonagePluvialA3PaysageSimple_Light.png">
          <a:extLst>
            <a:ext uri="{FF2B5EF4-FFF2-40B4-BE49-F238E27FC236}">
              <a16:creationId xmlns:a16="http://schemas.microsoft.com/office/drawing/2014/main" id="{272D03AE-C1AB-4F37-848E-D35075E1390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187" b="11494"/>
        <a:stretch/>
      </xdr:blipFill>
      <xdr:spPr bwMode="auto">
        <a:xfrm>
          <a:off x="10953751" y="400050"/>
          <a:ext cx="6400799" cy="3829050"/>
        </a:xfrm>
        <a:prstGeom prst="rect">
          <a:avLst/>
        </a:prstGeom>
        <a:noFill/>
        <a:ln w="12700"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14</xdr:col>
      <xdr:colOff>895350</xdr:colOff>
      <xdr:row>19</xdr:row>
      <xdr:rowOff>38100</xdr:rowOff>
    </xdr:from>
    <xdr:to>
      <xdr:col>14</xdr:col>
      <xdr:colOff>895351</xdr:colOff>
      <xdr:row>23</xdr:row>
      <xdr:rowOff>38100</xdr:rowOff>
    </xdr:to>
    <xdr:cxnSp macro="">
      <xdr:nvCxnSpPr>
        <xdr:cNvPr id="5" name="Connecteur droit 4">
          <a:extLst>
            <a:ext uri="{FF2B5EF4-FFF2-40B4-BE49-F238E27FC236}">
              <a16:creationId xmlns:a16="http://schemas.microsoft.com/office/drawing/2014/main" id="{44C00903-4BC1-48E1-BF46-9919CE35F0D1}"/>
            </a:ext>
          </a:extLst>
        </xdr:cNvPr>
        <xdr:cNvCxnSpPr/>
      </xdr:nvCxnSpPr>
      <xdr:spPr>
        <a:xfrm flipH="1">
          <a:off x="14801850" y="4495800"/>
          <a:ext cx="1" cy="91440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16</xdr:col>
      <xdr:colOff>142875</xdr:colOff>
      <xdr:row>2</xdr:row>
      <xdr:rowOff>0</xdr:rowOff>
    </xdr:from>
    <xdr:to>
      <xdr:col>17</xdr:col>
      <xdr:colOff>0</xdr:colOff>
      <xdr:row>4</xdr:row>
      <xdr:rowOff>209549</xdr:rowOff>
    </xdr:to>
    <xdr:pic>
      <xdr:nvPicPr>
        <xdr:cNvPr id="6" name="Image 5" descr="Une image contenant Police, Graphique, logo, graphisme&#10;&#10;Description générée automatiquement">
          <a:extLst>
            <a:ext uri="{FF2B5EF4-FFF2-40B4-BE49-F238E27FC236}">
              <a16:creationId xmlns:a16="http://schemas.microsoft.com/office/drawing/2014/main" id="{4DDFCB64-92B9-4177-A22C-9FFE4280EC54}"/>
            </a:ext>
          </a:extLst>
        </xdr:cNvPr>
        <xdr:cNvPicPr/>
      </xdr:nvPicPr>
      <xdr:blipFill rotWithShape="1">
        <a:blip xmlns:r="http://schemas.openxmlformats.org/officeDocument/2006/relationships" r:embed="rId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 l="-12273" t="-10892" r="-13415" b="-10349"/>
        <a:stretch/>
      </xdr:blipFill>
      <xdr:spPr bwMode="auto">
        <a:xfrm>
          <a:off x="16430625" y="400050"/>
          <a:ext cx="923925" cy="78104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0</xdr:colOff>
      <xdr:row>2</xdr:row>
      <xdr:rowOff>0</xdr:rowOff>
    </xdr:from>
    <xdr:ext cx="6400799" cy="3829050"/>
    <xdr:pic>
      <xdr:nvPicPr>
        <xdr:cNvPr id="8" name="Image 7" descr="K:\DEI\02 POLE EAU DANS LA VILLE\01_PARISPLUIE\03_REVISION ZONAGE PLUVIAL\03_Projet documents révisés\Cartes\Octobre 2025\ZonagePluvialA3PaysageSimple_Light.png">
          <a:extLst>
            <a:ext uri="{FF2B5EF4-FFF2-40B4-BE49-F238E27FC236}">
              <a16:creationId xmlns:a16="http://schemas.microsoft.com/office/drawing/2014/main" id="{FE450B5E-E3D9-469A-B0F1-3FC4562D75C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187" b="11494"/>
        <a:stretch/>
      </xdr:blipFill>
      <xdr:spPr bwMode="auto">
        <a:xfrm>
          <a:off x="10953750" y="400050"/>
          <a:ext cx="6400799" cy="3829050"/>
        </a:xfrm>
        <a:prstGeom prst="rect">
          <a:avLst/>
        </a:prstGeom>
        <a:noFill/>
        <a:ln w="12700"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2</xdr:row>
      <xdr:rowOff>1</xdr:rowOff>
    </xdr:from>
    <xdr:to>
      <xdr:col>2</xdr:col>
      <xdr:colOff>454850</xdr:colOff>
      <xdr:row>11</xdr:row>
      <xdr:rowOff>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91C4AA3F-783F-4D8A-8AB0-15664403A7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285751"/>
          <a:ext cx="1521650" cy="222884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14</xdr:col>
      <xdr:colOff>895350</xdr:colOff>
      <xdr:row>19</xdr:row>
      <xdr:rowOff>38100</xdr:rowOff>
    </xdr:from>
    <xdr:to>
      <xdr:col>14</xdr:col>
      <xdr:colOff>895351</xdr:colOff>
      <xdr:row>23</xdr:row>
      <xdr:rowOff>38100</xdr:rowOff>
    </xdr:to>
    <xdr:cxnSp macro="">
      <xdr:nvCxnSpPr>
        <xdr:cNvPr id="5" name="Connecteur droit 4">
          <a:extLst>
            <a:ext uri="{FF2B5EF4-FFF2-40B4-BE49-F238E27FC236}">
              <a16:creationId xmlns:a16="http://schemas.microsoft.com/office/drawing/2014/main" id="{0DC3A261-930A-4EB8-BFF7-F46E49D893B6}"/>
            </a:ext>
          </a:extLst>
        </xdr:cNvPr>
        <xdr:cNvCxnSpPr/>
      </xdr:nvCxnSpPr>
      <xdr:spPr>
        <a:xfrm flipH="1">
          <a:off x="14801850" y="4495800"/>
          <a:ext cx="1" cy="91440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16</xdr:col>
      <xdr:colOff>142875</xdr:colOff>
      <xdr:row>2</xdr:row>
      <xdr:rowOff>0</xdr:rowOff>
    </xdr:from>
    <xdr:to>
      <xdr:col>17</xdr:col>
      <xdr:colOff>0</xdr:colOff>
      <xdr:row>4</xdr:row>
      <xdr:rowOff>209549</xdr:rowOff>
    </xdr:to>
    <xdr:pic>
      <xdr:nvPicPr>
        <xdr:cNvPr id="6" name="Image 5" descr="Une image contenant Police, Graphique, logo, graphisme&#10;&#10;Description générée automatiquement">
          <a:extLst>
            <a:ext uri="{FF2B5EF4-FFF2-40B4-BE49-F238E27FC236}">
              <a16:creationId xmlns:a16="http://schemas.microsoft.com/office/drawing/2014/main" id="{8A016C0A-DE80-4F1E-B8A2-1176B33771F2}"/>
            </a:ext>
          </a:extLst>
        </xdr:cNvPr>
        <xdr:cNvPicPr/>
      </xdr:nvPicPr>
      <xdr:blipFill rotWithShape="1">
        <a:blip xmlns:r="http://schemas.openxmlformats.org/officeDocument/2006/relationships" r:embed="rId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 l="-12273" t="-10892" r="-13415" b="-10349"/>
        <a:stretch/>
      </xdr:blipFill>
      <xdr:spPr bwMode="auto">
        <a:xfrm>
          <a:off x="16430625" y="400050"/>
          <a:ext cx="923925" cy="78104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Ville">
      <a:dk1>
        <a:sysClr val="windowText" lastClr="000000"/>
      </a:dk1>
      <a:lt1>
        <a:srgbClr val="F0F0F0"/>
      </a:lt1>
      <a:dk2>
        <a:srgbClr val="071F32"/>
      </a:dk2>
      <a:lt2>
        <a:srgbClr val="25DCCC"/>
      </a:lt2>
      <a:accent1>
        <a:srgbClr val="FFCD00"/>
      </a:accent1>
      <a:accent2>
        <a:srgbClr val="FB394A"/>
      </a:accent2>
      <a:accent3>
        <a:srgbClr val="31EEF3"/>
      </a:accent3>
      <a:accent4>
        <a:srgbClr val="354BCF"/>
      </a:accent4>
      <a:accent5>
        <a:srgbClr val="FF3300"/>
      </a:accent5>
      <a:accent6>
        <a:srgbClr val="3ECD2E"/>
      </a:accent6>
      <a:hlink>
        <a:srgbClr val="0563C1"/>
      </a:hlink>
      <a:folHlink>
        <a:srgbClr val="954F72"/>
      </a:folHlink>
    </a:clrScheme>
    <a:fontScheme name="Montserrat">
      <a:majorFont>
        <a:latin typeface="Montserrat"/>
        <a:ea typeface=""/>
        <a:cs typeface=""/>
      </a:majorFont>
      <a:minorFont>
        <a:latin typeface="Montserrat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D2D34-CF8D-42E4-B23A-93E83B1D929A}">
  <dimension ref="B1:Z150"/>
  <sheetViews>
    <sheetView showGridLines="0" topLeftCell="A46" zoomScaleNormal="100" workbookViewId="0">
      <selection activeCell="F8" sqref="F8"/>
    </sheetView>
  </sheetViews>
  <sheetFormatPr baseColWidth="10" defaultColWidth="11" defaultRowHeight="18" customHeight="1" x14ac:dyDescent="0.2"/>
  <cols>
    <col min="1" max="1" width="3" style="1" customWidth="1"/>
    <col min="2" max="17" width="11.140625" style="1" customWidth="1"/>
    <col min="18" max="18" width="11" style="1" customWidth="1"/>
    <col min="19" max="16384" width="11" style="1"/>
  </cols>
  <sheetData>
    <row r="1" spans="2:17" ht="7.5" customHeight="1" x14ac:dyDescent="0.2"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</row>
    <row r="2" spans="2:17" ht="22.5" customHeight="1" x14ac:dyDescent="0.2"/>
    <row r="3" spans="2:17" ht="22.5" customHeight="1" x14ac:dyDescent="0.2">
      <c r="D3" s="21" t="s">
        <v>64</v>
      </c>
      <c r="E3" s="2"/>
      <c r="F3" s="2"/>
      <c r="G3" s="2"/>
      <c r="H3" s="2"/>
      <c r="I3" s="2"/>
      <c r="J3" s="2"/>
    </row>
    <row r="4" spans="2:17" ht="22.5" customHeight="1" x14ac:dyDescent="0.2">
      <c r="D4" s="21" t="s">
        <v>62</v>
      </c>
      <c r="E4" s="5"/>
      <c r="F4" s="5"/>
    </row>
    <row r="5" spans="2:17" ht="22.5" customHeight="1" x14ac:dyDescent="0.2">
      <c r="D5" s="321" t="s">
        <v>63</v>
      </c>
    </row>
    <row r="6" spans="2:17" ht="18" customHeight="1" x14ac:dyDescent="0.2">
      <c r="D6" s="4"/>
      <c r="E6" s="4"/>
      <c r="F6" s="4"/>
      <c r="I6"/>
    </row>
    <row r="7" spans="2:17" ht="18" customHeight="1" x14ac:dyDescent="0.2">
      <c r="D7" s="4"/>
    </row>
    <row r="8" spans="2:17" ht="18" customHeight="1" thickBot="1" x14ac:dyDescent="0.25">
      <c r="D8" s="165" t="s">
        <v>161</v>
      </c>
    </row>
    <row r="9" spans="2:17" ht="18" customHeight="1" x14ac:dyDescent="0.2">
      <c r="D9" s="550" t="s">
        <v>61</v>
      </c>
      <c r="E9" s="551"/>
      <c r="F9" s="551"/>
      <c r="G9" s="551"/>
      <c r="H9" s="551"/>
      <c r="I9" s="552"/>
    </row>
    <row r="10" spans="2:17" ht="18" customHeight="1" x14ac:dyDescent="0.2">
      <c r="D10" s="547" t="s">
        <v>46</v>
      </c>
      <c r="E10" s="548"/>
      <c r="F10" s="548"/>
      <c r="G10" s="548"/>
      <c r="H10" s="548"/>
      <c r="I10" s="549"/>
    </row>
    <row r="11" spans="2:17" ht="18" customHeight="1" thickBot="1" x14ac:dyDescent="0.25">
      <c r="D11" s="573" t="s">
        <v>47</v>
      </c>
      <c r="E11" s="574"/>
      <c r="F11" s="574"/>
      <c r="G11" s="574"/>
      <c r="H11" s="574"/>
      <c r="I11" s="575"/>
    </row>
    <row r="15" spans="2:17" ht="18" customHeight="1" x14ac:dyDescent="0.2">
      <c r="B15" s="244" t="s">
        <v>93</v>
      </c>
      <c r="C15" s="136"/>
      <c r="D15" s="136"/>
      <c r="E15" s="136"/>
      <c r="F15" s="136"/>
      <c r="G15" s="136"/>
      <c r="H15" s="136"/>
      <c r="I15" s="136"/>
    </row>
    <row r="16" spans="2:17" ht="18" customHeight="1" thickBot="1" x14ac:dyDescent="0.25">
      <c r="E16" s="88"/>
      <c r="F16" s="88"/>
      <c r="G16" s="88"/>
      <c r="H16" s="88"/>
      <c r="I16" s="88"/>
    </row>
    <row r="17" spans="2:17" ht="18" customHeight="1" x14ac:dyDescent="0.2">
      <c r="B17" s="84" t="s">
        <v>76</v>
      </c>
      <c r="C17" s="85"/>
      <c r="D17" s="85"/>
      <c r="E17" s="570"/>
      <c r="F17" s="571"/>
      <c r="G17" s="571"/>
      <c r="H17" s="571"/>
      <c r="I17" s="572"/>
    </row>
    <row r="18" spans="2:17" ht="18" customHeight="1" thickBot="1" x14ac:dyDescent="0.25">
      <c r="B18" s="134" t="s">
        <v>96</v>
      </c>
      <c r="C18" s="135"/>
      <c r="D18" s="135"/>
      <c r="E18" s="481"/>
      <c r="F18" s="576"/>
      <c r="G18" s="576"/>
      <c r="H18" s="576"/>
      <c r="I18" s="482"/>
    </row>
    <row r="19" spans="2:17" ht="18" customHeight="1" thickBot="1" x14ac:dyDescent="0.25">
      <c r="B19" s="35"/>
      <c r="C19" s="35"/>
      <c r="D19" s="35"/>
      <c r="E19" s="35"/>
      <c r="F19" s="35"/>
      <c r="G19" s="35"/>
      <c r="H19" s="35"/>
      <c r="I19" s="35"/>
      <c r="K19" s="1" t="s">
        <v>144</v>
      </c>
    </row>
    <row r="20" spans="2:17" ht="18" customHeight="1" thickBot="1" x14ac:dyDescent="0.25">
      <c r="B20" s="156" t="s">
        <v>13</v>
      </c>
      <c r="C20" s="245"/>
      <c r="D20" s="246"/>
      <c r="E20" s="570"/>
      <c r="F20" s="572"/>
      <c r="L20" s="117" t="s">
        <v>145</v>
      </c>
      <c r="P20" s="117" t="s">
        <v>36</v>
      </c>
      <c r="Q20" s="338"/>
    </row>
    <row r="21" spans="2:17" ht="18" customHeight="1" thickBot="1" x14ac:dyDescent="0.25">
      <c r="B21" s="247" t="s">
        <v>52</v>
      </c>
      <c r="C21" s="86"/>
      <c r="D21" s="87"/>
      <c r="E21" s="481"/>
      <c r="F21" s="482"/>
      <c r="L21" s="8" t="s">
        <v>17</v>
      </c>
      <c r="M21" s="337" t="s">
        <v>146</v>
      </c>
      <c r="P21" s="459" t="s">
        <v>29</v>
      </c>
      <c r="Q21" s="460"/>
    </row>
    <row r="22" spans="2:17" ht="18" customHeight="1" thickBot="1" x14ac:dyDescent="0.25">
      <c r="L22" s="9" t="s">
        <v>18</v>
      </c>
      <c r="M22" s="337" t="s">
        <v>147</v>
      </c>
    </row>
    <row r="23" spans="2:17" ht="18" customHeight="1" thickBot="1" x14ac:dyDescent="0.25">
      <c r="B23" s="94" t="s">
        <v>39</v>
      </c>
      <c r="C23" s="133"/>
      <c r="D23" s="133"/>
      <c r="E23" s="553"/>
      <c r="F23" s="554"/>
      <c r="L23" s="10" t="s">
        <v>19</v>
      </c>
      <c r="M23" s="337" t="s">
        <v>148</v>
      </c>
      <c r="P23" s="479" t="s">
        <v>30</v>
      </c>
      <c r="Q23" s="480"/>
    </row>
    <row r="24" spans="2:17" ht="18" customHeight="1" x14ac:dyDescent="0.2">
      <c r="B24" s="166" t="s">
        <v>160</v>
      </c>
      <c r="J24" s="68"/>
    </row>
    <row r="25" spans="2:17" s="6" customFormat="1" ht="18" customHeight="1" x14ac:dyDescent="0.2">
      <c r="B25" s="1"/>
      <c r="C25" s="1"/>
      <c r="D25" s="1"/>
      <c r="E25" s="1"/>
      <c r="F25" s="1"/>
      <c r="G25" s="1"/>
      <c r="H25" s="1"/>
      <c r="I25" s="1"/>
      <c r="J25" s="1"/>
      <c r="L25" s="1"/>
      <c r="M25" s="1"/>
      <c r="N25" s="1"/>
      <c r="O25" s="1"/>
      <c r="P25" s="1"/>
      <c r="Q25" s="1"/>
    </row>
    <row r="26" spans="2:17" s="6" customFormat="1" ht="18" customHeight="1" x14ac:dyDescent="0.2">
      <c r="B26" s="1"/>
      <c r="C26" s="1"/>
      <c r="D26" s="1"/>
      <c r="E26" s="1"/>
      <c r="F26" s="1"/>
      <c r="G26" s="1"/>
      <c r="H26" s="1"/>
      <c r="I26" s="1"/>
      <c r="J26" s="1"/>
    </row>
    <row r="27" spans="2:17" s="6" customFormat="1" ht="18" customHeight="1" x14ac:dyDescent="0.2">
      <c r="B27" s="31"/>
      <c r="J27" s="1"/>
    </row>
    <row r="28" spans="2:17" ht="18" customHeight="1" x14ac:dyDescent="0.2">
      <c r="B28" s="244" t="s">
        <v>120</v>
      </c>
      <c r="C28" s="137"/>
      <c r="D28" s="137"/>
      <c r="E28" s="137"/>
      <c r="F28" s="137"/>
      <c r="G28" s="137"/>
      <c r="H28" s="137"/>
      <c r="I28" s="137"/>
      <c r="J28" s="137"/>
      <c r="K28" s="137"/>
      <c r="L28" s="137"/>
      <c r="M28" s="137"/>
      <c r="N28" s="137"/>
      <c r="O28" s="137"/>
      <c r="P28" s="137"/>
      <c r="Q28" s="137"/>
    </row>
    <row r="29" spans="2:17" ht="7.5" customHeight="1" x14ac:dyDescent="0.2">
      <c r="B29" s="164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spans="2:17" s="6" customFormat="1" ht="18" customHeight="1" x14ac:dyDescent="0.2">
      <c r="B30" s="577" t="s">
        <v>154</v>
      </c>
      <c r="C30" s="363" t="s">
        <v>155</v>
      </c>
      <c r="D30" s="161"/>
      <c r="E30" s="161"/>
      <c r="F30" s="161"/>
      <c r="G30" s="161"/>
      <c r="H30" s="161"/>
      <c r="I30" s="161"/>
      <c r="J30" s="162"/>
      <c r="K30" s="162"/>
      <c r="L30" s="162"/>
      <c r="M30" s="162"/>
      <c r="N30" s="161"/>
      <c r="O30" s="161"/>
      <c r="P30" s="161"/>
      <c r="Q30" s="161"/>
    </row>
    <row r="31" spans="2:17" ht="18" customHeight="1" x14ac:dyDescent="0.2">
      <c r="B31" s="577"/>
      <c r="C31" s="457" t="s">
        <v>226</v>
      </c>
      <c r="D31" s="162"/>
      <c r="E31" s="162"/>
      <c r="F31" s="162"/>
      <c r="G31" s="162"/>
      <c r="H31" s="162"/>
      <c r="I31" s="162"/>
      <c r="J31" s="162"/>
      <c r="K31" s="162"/>
      <c r="L31" s="162"/>
      <c r="M31" s="162"/>
      <c r="N31" s="162"/>
      <c r="O31" s="162"/>
      <c r="P31" s="162"/>
      <c r="Q31" s="163"/>
    </row>
    <row r="32" spans="2:17" ht="27" customHeight="1" thickBot="1" x14ac:dyDescent="0.25">
      <c r="Q32" s="3"/>
    </row>
    <row r="33" spans="2:17" ht="18" customHeight="1" x14ac:dyDescent="0.2">
      <c r="B33" s="565" t="s">
        <v>37</v>
      </c>
      <c r="C33" s="264" t="s">
        <v>75</v>
      </c>
      <c r="D33" s="265"/>
      <c r="E33" s="265"/>
      <c r="F33" s="266"/>
      <c r="G33" s="178" t="s">
        <v>59</v>
      </c>
      <c r="H33" s="179"/>
      <c r="I33" s="179"/>
      <c r="J33" s="179"/>
      <c r="K33" s="179"/>
      <c r="L33" s="179"/>
      <c r="M33" s="179"/>
      <c r="N33" s="180"/>
      <c r="O33" s="322"/>
      <c r="P33" s="323" t="s">
        <v>100</v>
      </c>
      <c r="Q33" s="324"/>
    </row>
    <row r="34" spans="2:17" ht="18" customHeight="1" x14ac:dyDescent="0.2">
      <c r="B34" s="566"/>
      <c r="C34" s="555" t="s">
        <v>88</v>
      </c>
      <c r="D34" s="556"/>
      <c r="E34" s="557"/>
      <c r="F34" s="561" t="s">
        <v>89</v>
      </c>
      <c r="G34" s="462" t="s">
        <v>48</v>
      </c>
      <c r="H34" s="483" t="s">
        <v>123</v>
      </c>
      <c r="I34" s="483"/>
      <c r="J34" s="483" t="s">
        <v>57</v>
      </c>
      <c r="K34" s="483" t="s">
        <v>167</v>
      </c>
      <c r="L34" s="483" t="s">
        <v>15</v>
      </c>
      <c r="M34" s="483" t="s">
        <v>58</v>
      </c>
      <c r="N34" s="487" t="s">
        <v>2</v>
      </c>
      <c r="O34" s="545" t="s">
        <v>104</v>
      </c>
      <c r="P34" s="462" t="s">
        <v>97</v>
      </c>
      <c r="Q34" s="542" t="s">
        <v>103</v>
      </c>
    </row>
    <row r="35" spans="2:17" ht="18" customHeight="1" x14ac:dyDescent="0.2">
      <c r="B35" s="566"/>
      <c r="C35" s="555"/>
      <c r="D35" s="556"/>
      <c r="E35" s="557"/>
      <c r="F35" s="561"/>
      <c r="G35" s="463"/>
      <c r="H35" s="484"/>
      <c r="I35" s="484"/>
      <c r="J35" s="484"/>
      <c r="K35" s="484"/>
      <c r="L35" s="484"/>
      <c r="M35" s="484"/>
      <c r="N35" s="488"/>
      <c r="O35" s="545"/>
      <c r="P35" s="463"/>
      <c r="Q35" s="542"/>
    </row>
    <row r="36" spans="2:17" ht="18" customHeight="1" x14ac:dyDescent="0.2">
      <c r="B36" s="566"/>
      <c r="C36" s="555"/>
      <c r="D36" s="556"/>
      <c r="E36" s="557"/>
      <c r="F36" s="561"/>
      <c r="G36" s="463"/>
      <c r="H36" s="484"/>
      <c r="I36" s="484"/>
      <c r="J36" s="484"/>
      <c r="K36" s="484"/>
      <c r="L36" s="484"/>
      <c r="M36" s="484"/>
      <c r="N36" s="488"/>
      <c r="O36" s="545"/>
      <c r="P36" s="463"/>
      <c r="Q36" s="542"/>
    </row>
    <row r="37" spans="2:17" ht="18" customHeight="1" x14ac:dyDescent="0.2">
      <c r="B37" s="566"/>
      <c r="C37" s="555"/>
      <c r="D37" s="556"/>
      <c r="E37" s="557"/>
      <c r="F37" s="562"/>
      <c r="G37" s="463"/>
      <c r="H37" s="69" t="s">
        <v>55</v>
      </c>
      <c r="I37" s="69" t="s">
        <v>56</v>
      </c>
      <c r="J37" s="484"/>
      <c r="K37" s="484"/>
      <c r="L37" s="484"/>
      <c r="M37" s="484"/>
      <c r="N37" s="488"/>
      <c r="O37" s="545"/>
      <c r="P37" s="463"/>
      <c r="Q37" s="542"/>
    </row>
    <row r="38" spans="2:17" ht="6" customHeight="1" x14ac:dyDescent="0.2">
      <c r="B38" s="566"/>
      <c r="C38" s="555"/>
      <c r="D38" s="556"/>
      <c r="E38" s="557"/>
      <c r="F38" s="267"/>
      <c r="G38" s="83"/>
      <c r="H38" s="12"/>
      <c r="I38" s="12"/>
      <c r="J38" s="13"/>
      <c r="K38" s="13"/>
      <c r="L38" s="14"/>
      <c r="M38" s="14"/>
      <c r="N38" s="70"/>
      <c r="O38" s="546"/>
      <c r="P38" s="463"/>
      <c r="Q38" s="543"/>
    </row>
    <row r="39" spans="2:17" ht="18" customHeight="1" thickBot="1" x14ac:dyDescent="0.25">
      <c r="B39" s="567"/>
      <c r="C39" s="558"/>
      <c r="D39" s="559"/>
      <c r="E39" s="560"/>
      <c r="F39" s="27" t="s">
        <v>80</v>
      </c>
      <c r="G39" s="20" t="s">
        <v>3</v>
      </c>
      <c r="H39" s="19" t="s">
        <v>3</v>
      </c>
      <c r="I39" s="19" t="s">
        <v>3</v>
      </c>
      <c r="J39" s="19" t="s">
        <v>3</v>
      </c>
      <c r="K39" s="19" t="s">
        <v>3</v>
      </c>
      <c r="L39" s="19" t="s">
        <v>3</v>
      </c>
      <c r="M39" s="19" t="s">
        <v>3</v>
      </c>
      <c r="N39" s="71" t="s">
        <v>3</v>
      </c>
      <c r="O39" s="18" t="s">
        <v>125</v>
      </c>
      <c r="P39" s="20" t="s">
        <v>81</v>
      </c>
      <c r="Q39" s="175" t="s">
        <v>122</v>
      </c>
    </row>
    <row r="40" spans="2:17" ht="18" customHeight="1" x14ac:dyDescent="0.2">
      <c r="B40" s="76"/>
      <c r="C40" s="477"/>
      <c r="D40" s="478"/>
      <c r="E40" s="478"/>
      <c r="F40" s="28"/>
      <c r="G40" s="80"/>
      <c r="H40" s="17"/>
      <c r="I40" s="17"/>
      <c r="J40" s="17"/>
      <c r="K40" s="17"/>
      <c r="L40" s="17"/>
      <c r="M40" s="17"/>
      <c r="N40" s="72"/>
      <c r="O40" s="259" t="str">
        <f t="shared" ref="O40:O49" si="0">IF(OR(SUM($F40:$N40)=0,$C40=""),"/",SUM($G40:$N40)+IF(VLOOKUP($C40,$D$123:$E$131,2,FALSE)="Oui",$F40,0))</f>
        <v>/</v>
      </c>
      <c r="P40" s="260" t="str">
        <f t="shared" ref="P40:P49" si="1">IF(OR(SUM($F40:$N40)=0,$C40=""),"/",SUMPRODUCT($G40:$N40,$G$53:$N$53)+IF(VLOOKUP($C40,$D$123:$E$131,2,FALSE)="Oui",$F40,0))</f>
        <v>/</v>
      </c>
      <c r="Q40" s="263" t="str">
        <f>IF(OR($O40="/",$O40=0),"/",$P40/$O40)</f>
        <v>/</v>
      </c>
    </row>
    <row r="41" spans="2:17" ht="18" customHeight="1" x14ac:dyDescent="0.2">
      <c r="B41" s="77"/>
      <c r="C41" s="477"/>
      <c r="D41" s="478"/>
      <c r="E41" s="478"/>
      <c r="F41" s="28"/>
      <c r="G41" s="81"/>
      <c r="H41" s="15"/>
      <c r="I41" s="15"/>
      <c r="J41" s="15"/>
      <c r="K41" s="15"/>
      <c r="L41" s="15"/>
      <c r="M41" s="15"/>
      <c r="N41" s="73"/>
      <c r="O41" s="249" t="str">
        <f t="shared" si="0"/>
        <v>/</v>
      </c>
      <c r="P41" s="261" t="str">
        <f t="shared" si="1"/>
        <v>/</v>
      </c>
      <c r="Q41" s="269" t="str">
        <f t="shared" ref="Q41:Q49" si="2">IF(OR($O41="/",$O41=0),"/",$P41/$O41)</f>
        <v>/</v>
      </c>
    </row>
    <row r="42" spans="2:17" ht="18" customHeight="1" x14ac:dyDescent="0.2">
      <c r="B42" s="77"/>
      <c r="C42" s="477"/>
      <c r="D42" s="478"/>
      <c r="E42" s="478"/>
      <c r="F42" s="28"/>
      <c r="G42" s="81"/>
      <c r="H42" s="15"/>
      <c r="I42" s="15"/>
      <c r="J42" s="15"/>
      <c r="K42" s="15"/>
      <c r="L42" s="15"/>
      <c r="M42" s="15"/>
      <c r="N42" s="73"/>
      <c r="O42" s="249" t="str">
        <f t="shared" si="0"/>
        <v>/</v>
      </c>
      <c r="P42" s="261" t="str">
        <f t="shared" si="1"/>
        <v>/</v>
      </c>
      <c r="Q42" s="269" t="str">
        <f t="shared" si="2"/>
        <v>/</v>
      </c>
    </row>
    <row r="43" spans="2:17" ht="18" customHeight="1" x14ac:dyDescent="0.2">
      <c r="B43" s="77"/>
      <c r="C43" s="477"/>
      <c r="D43" s="478"/>
      <c r="E43" s="478"/>
      <c r="F43" s="28"/>
      <c r="G43" s="81"/>
      <c r="H43" s="15"/>
      <c r="I43" s="15"/>
      <c r="J43" s="15"/>
      <c r="K43" s="15"/>
      <c r="L43" s="15"/>
      <c r="M43" s="15"/>
      <c r="N43" s="73"/>
      <c r="O43" s="249" t="str">
        <f t="shared" si="0"/>
        <v>/</v>
      </c>
      <c r="P43" s="261" t="str">
        <f t="shared" si="1"/>
        <v>/</v>
      </c>
      <c r="Q43" s="269" t="str">
        <f t="shared" si="2"/>
        <v>/</v>
      </c>
    </row>
    <row r="44" spans="2:17" ht="18" customHeight="1" x14ac:dyDescent="0.2">
      <c r="B44" s="77"/>
      <c r="C44" s="477"/>
      <c r="D44" s="478"/>
      <c r="E44" s="478"/>
      <c r="F44" s="28"/>
      <c r="G44" s="81"/>
      <c r="H44" s="15"/>
      <c r="I44" s="15"/>
      <c r="J44" s="15"/>
      <c r="K44" s="15"/>
      <c r="L44" s="15"/>
      <c r="M44" s="15"/>
      <c r="N44" s="73"/>
      <c r="O44" s="249" t="str">
        <f t="shared" si="0"/>
        <v>/</v>
      </c>
      <c r="P44" s="261" t="str">
        <f t="shared" si="1"/>
        <v>/</v>
      </c>
      <c r="Q44" s="269" t="str">
        <f t="shared" si="2"/>
        <v>/</v>
      </c>
    </row>
    <row r="45" spans="2:17" ht="18" customHeight="1" x14ac:dyDescent="0.2">
      <c r="B45" s="77"/>
      <c r="C45" s="477"/>
      <c r="D45" s="478"/>
      <c r="E45" s="478"/>
      <c r="F45" s="28"/>
      <c r="G45" s="81"/>
      <c r="H45" s="15"/>
      <c r="I45" s="15"/>
      <c r="J45" s="15"/>
      <c r="K45" s="15"/>
      <c r="L45" s="15"/>
      <c r="M45" s="15"/>
      <c r="N45" s="73"/>
      <c r="O45" s="249" t="str">
        <f t="shared" si="0"/>
        <v>/</v>
      </c>
      <c r="P45" s="261" t="str">
        <f t="shared" si="1"/>
        <v>/</v>
      </c>
      <c r="Q45" s="269" t="str">
        <f t="shared" si="2"/>
        <v>/</v>
      </c>
    </row>
    <row r="46" spans="2:17" ht="18" customHeight="1" x14ac:dyDescent="0.2">
      <c r="B46" s="77"/>
      <c r="C46" s="477"/>
      <c r="D46" s="478"/>
      <c r="E46" s="478"/>
      <c r="F46" s="28"/>
      <c r="G46" s="81"/>
      <c r="H46" s="15"/>
      <c r="I46" s="15"/>
      <c r="J46" s="15"/>
      <c r="K46" s="15"/>
      <c r="L46" s="15"/>
      <c r="M46" s="15"/>
      <c r="N46" s="73"/>
      <c r="O46" s="249" t="str">
        <f t="shared" si="0"/>
        <v>/</v>
      </c>
      <c r="P46" s="261" t="str">
        <f t="shared" si="1"/>
        <v>/</v>
      </c>
      <c r="Q46" s="269" t="str">
        <f t="shared" si="2"/>
        <v>/</v>
      </c>
    </row>
    <row r="47" spans="2:17" ht="18" customHeight="1" x14ac:dyDescent="0.2">
      <c r="B47" s="77"/>
      <c r="C47" s="477"/>
      <c r="D47" s="478"/>
      <c r="E47" s="478"/>
      <c r="F47" s="28"/>
      <c r="G47" s="81"/>
      <c r="H47" s="15"/>
      <c r="I47" s="15"/>
      <c r="J47" s="15"/>
      <c r="K47" s="15"/>
      <c r="L47" s="15"/>
      <c r="M47" s="15"/>
      <c r="N47" s="73"/>
      <c r="O47" s="249" t="str">
        <f t="shared" si="0"/>
        <v>/</v>
      </c>
      <c r="P47" s="261" t="str">
        <f t="shared" si="1"/>
        <v>/</v>
      </c>
      <c r="Q47" s="269" t="str">
        <f t="shared" si="2"/>
        <v>/</v>
      </c>
    </row>
    <row r="48" spans="2:17" ht="18" customHeight="1" x14ac:dyDescent="0.2">
      <c r="B48" s="78"/>
      <c r="C48" s="477"/>
      <c r="D48" s="478"/>
      <c r="E48" s="478"/>
      <c r="F48" s="28"/>
      <c r="G48" s="81"/>
      <c r="H48" s="15"/>
      <c r="I48" s="15"/>
      <c r="J48" s="15"/>
      <c r="K48" s="15"/>
      <c r="L48" s="15"/>
      <c r="M48" s="15"/>
      <c r="N48" s="73"/>
      <c r="O48" s="249" t="str">
        <f t="shared" si="0"/>
        <v>/</v>
      </c>
      <c r="P48" s="261" t="str">
        <f t="shared" si="1"/>
        <v>/</v>
      </c>
      <c r="Q48" s="269" t="str">
        <f t="shared" si="2"/>
        <v>/</v>
      </c>
    </row>
    <row r="49" spans="2:18" ht="18" customHeight="1" thickBot="1" x14ac:dyDescent="0.25">
      <c r="B49" s="79"/>
      <c r="C49" s="477"/>
      <c r="D49" s="478"/>
      <c r="E49" s="478"/>
      <c r="F49" s="28"/>
      <c r="G49" s="82"/>
      <c r="H49" s="16"/>
      <c r="I49" s="16"/>
      <c r="J49" s="16"/>
      <c r="K49" s="16"/>
      <c r="L49" s="16"/>
      <c r="M49" s="16"/>
      <c r="N49" s="74"/>
      <c r="O49" s="250" t="str">
        <f t="shared" si="0"/>
        <v>/</v>
      </c>
      <c r="P49" s="262" t="str">
        <f t="shared" si="1"/>
        <v>/</v>
      </c>
      <c r="Q49" s="270" t="str">
        <f t="shared" si="2"/>
        <v>/</v>
      </c>
    </row>
    <row r="50" spans="2:18" ht="18" customHeight="1" thickBot="1" x14ac:dyDescent="0.25">
      <c r="B50" s="563" t="s">
        <v>74</v>
      </c>
      <c r="C50" s="564"/>
      <c r="D50" s="564"/>
      <c r="E50" s="564"/>
      <c r="F50" s="93">
        <f t="shared" ref="F50:N50" si="3">SUM(F40:F49)</f>
        <v>0</v>
      </c>
      <c r="G50" s="24">
        <f t="shared" si="3"/>
        <v>0</v>
      </c>
      <c r="H50" s="25">
        <f t="shared" si="3"/>
        <v>0</v>
      </c>
      <c r="I50" s="25">
        <f t="shared" si="3"/>
        <v>0</v>
      </c>
      <c r="J50" s="25">
        <f t="shared" si="3"/>
        <v>0</v>
      </c>
      <c r="K50" s="25">
        <f t="shared" si="3"/>
        <v>0</v>
      </c>
      <c r="L50" s="25">
        <f t="shared" si="3"/>
        <v>0</v>
      </c>
      <c r="M50" s="25">
        <f t="shared" si="3"/>
        <v>0</v>
      </c>
      <c r="N50" s="75">
        <f t="shared" si="3"/>
        <v>0</v>
      </c>
      <c r="O50" s="123">
        <f>SUM($O$40:$O$49)</f>
        <v>0</v>
      </c>
      <c r="P50" s="122">
        <f>SUM($P$40:$P$49)</f>
        <v>0</v>
      </c>
      <c r="Q50" s="251" t="str">
        <f>IF($O$50=0,"/",$P$50/$O$50)</f>
        <v>/</v>
      </c>
    </row>
    <row r="51" spans="2:18" ht="18" customHeight="1" thickBot="1" x14ac:dyDescent="0.25"/>
    <row r="52" spans="2:18" ht="18" customHeight="1" x14ac:dyDescent="0.2">
      <c r="G52" s="193" t="s">
        <v>79</v>
      </c>
      <c r="H52" s="194"/>
      <c r="I52" s="194"/>
      <c r="J52" s="194"/>
      <c r="K52" s="194"/>
      <c r="L52" s="194"/>
      <c r="M52" s="194"/>
      <c r="N52" s="195"/>
      <c r="P52" s="6"/>
      <c r="Q52" s="6"/>
    </row>
    <row r="53" spans="2:18" ht="18" customHeight="1" thickBot="1" x14ac:dyDescent="0.25">
      <c r="G53" s="196">
        <v>0</v>
      </c>
      <c r="H53" s="197">
        <v>0</v>
      </c>
      <c r="I53" s="197">
        <v>0.3</v>
      </c>
      <c r="J53" s="197">
        <v>0.6</v>
      </c>
      <c r="K53" s="197">
        <v>1</v>
      </c>
      <c r="L53" s="197">
        <v>0</v>
      </c>
      <c r="M53" s="197">
        <v>0.5</v>
      </c>
      <c r="N53" s="198">
        <v>1</v>
      </c>
      <c r="P53" s="6"/>
      <c r="Q53" s="11"/>
      <c r="R53" s="3"/>
    </row>
    <row r="54" spans="2:18" ht="18" customHeight="1" x14ac:dyDescent="0.2">
      <c r="R54" s="3"/>
    </row>
    <row r="55" spans="2:18" ht="18" customHeight="1" x14ac:dyDescent="0.2">
      <c r="R55" s="3"/>
    </row>
    <row r="56" spans="2:18" ht="18" customHeight="1" x14ac:dyDescent="0.2">
      <c r="R56" s="3"/>
    </row>
    <row r="57" spans="2:18" ht="18" customHeight="1" x14ac:dyDescent="0.2">
      <c r="B57" s="244" t="s">
        <v>94</v>
      </c>
      <c r="C57" s="137"/>
      <c r="D57" s="137"/>
      <c r="E57" s="137"/>
      <c r="F57" s="137"/>
      <c r="G57" s="137"/>
      <c r="H57" s="137"/>
      <c r="I57" s="137"/>
      <c r="J57" s="137"/>
      <c r="K57" s="137"/>
      <c r="L57" s="137"/>
      <c r="M57" s="137"/>
      <c r="N57" s="137"/>
      <c r="O57" s="137"/>
      <c r="P57" s="137"/>
      <c r="Q57" s="137"/>
    </row>
    <row r="58" spans="2:18" ht="7.5" customHeight="1" x14ac:dyDescent="0.2"/>
    <row r="59" spans="2:18" ht="18" customHeight="1" x14ac:dyDescent="0.2">
      <c r="B59" s="577" t="s">
        <v>154</v>
      </c>
      <c r="C59" s="363" t="s">
        <v>156</v>
      </c>
      <c r="D59" s="162"/>
      <c r="E59" s="162"/>
      <c r="F59" s="162"/>
      <c r="G59" s="162"/>
      <c r="H59" s="162"/>
      <c r="I59" s="162"/>
      <c r="J59" s="162"/>
      <c r="K59" s="162"/>
      <c r="L59" s="162"/>
      <c r="M59" s="162"/>
      <c r="N59" s="162"/>
      <c r="O59" s="162"/>
      <c r="P59" s="162"/>
      <c r="Q59" s="162"/>
    </row>
    <row r="60" spans="2:18" ht="18" customHeight="1" x14ac:dyDescent="0.2">
      <c r="B60" s="577"/>
      <c r="C60" s="363" t="s">
        <v>157</v>
      </c>
      <c r="D60" s="162"/>
      <c r="E60" s="162"/>
      <c r="F60" s="162"/>
      <c r="G60" s="162"/>
      <c r="H60" s="162"/>
      <c r="I60" s="162"/>
      <c r="J60" s="162"/>
      <c r="K60" s="162"/>
      <c r="L60" s="162"/>
      <c r="M60" s="162"/>
      <c r="N60" s="162"/>
      <c r="O60" s="162"/>
      <c r="P60" s="162"/>
      <c r="Q60" s="162"/>
    </row>
    <row r="61" spans="2:18" ht="27" customHeight="1" thickBot="1" x14ac:dyDescent="0.25"/>
    <row r="62" spans="2:18" ht="18" customHeight="1" thickBot="1" x14ac:dyDescent="0.25">
      <c r="C62" s="186" t="s">
        <v>121</v>
      </c>
      <c r="D62" s="187"/>
      <c r="E62" s="188"/>
      <c r="F62" s="248">
        <v>10</v>
      </c>
    </row>
    <row r="63" spans="2:18" ht="18" customHeight="1" thickBot="1" x14ac:dyDescent="0.25">
      <c r="P63" s="88"/>
    </row>
    <row r="64" spans="2:18" ht="18" customHeight="1" x14ac:dyDescent="0.2">
      <c r="B64" s="565" t="s">
        <v>37</v>
      </c>
      <c r="C64" s="183" t="s">
        <v>126</v>
      </c>
      <c r="D64" s="183"/>
      <c r="E64" s="183"/>
      <c r="F64" s="183"/>
      <c r="G64" s="182" t="s">
        <v>99</v>
      </c>
      <c r="H64" s="183"/>
      <c r="I64" s="183"/>
      <c r="J64" s="183"/>
      <c r="K64" s="183"/>
      <c r="L64" s="184"/>
      <c r="M64" s="325" t="s">
        <v>191</v>
      </c>
      <c r="N64" s="326"/>
      <c r="O64" s="326"/>
      <c r="P64" s="327"/>
      <c r="Q64" s="328"/>
    </row>
    <row r="65" spans="2:18" s="6" customFormat="1" ht="18" customHeight="1" x14ac:dyDescent="0.2">
      <c r="B65" s="578"/>
      <c r="C65" s="462" t="s">
        <v>97</v>
      </c>
      <c r="D65" s="462" t="s">
        <v>127</v>
      </c>
      <c r="E65" s="483" t="s">
        <v>89</v>
      </c>
      <c r="F65" s="568" t="s">
        <v>73</v>
      </c>
      <c r="G65" s="536" t="s">
        <v>87</v>
      </c>
      <c r="H65" s="537"/>
      <c r="I65" s="537"/>
      <c r="J65" s="462" t="s">
        <v>106</v>
      </c>
      <c r="K65" s="483" t="s">
        <v>51</v>
      </c>
      <c r="L65" s="489" t="s">
        <v>78</v>
      </c>
      <c r="M65" s="544" t="s">
        <v>105</v>
      </c>
      <c r="N65" s="484" t="s">
        <v>102</v>
      </c>
      <c r="O65" s="484" t="s">
        <v>119</v>
      </c>
      <c r="P65" s="485" t="s">
        <v>72</v>
      </c>
      <c r="Q65" s="461" t="s">
        <v>109</v>
      </c>
      <c r="R65" s="252"/>
    </row>
    <row r="66" spans="2:18" s="6" customFormat="1" ht="18" customHeight="1" x14ac:dyDescent="0.2">
      <c r="B66" s="578"/>
      <c r="C66" s="463"/>
      <c r="D66" s="463"/>
      <c r="E66" s="484"/>
      <c r="F66" s="569"/>
      <c r="G66" s="538"/>
      <c r="H66" s="539"/>
      <c r="I66" s="539"/>
      <c r="J66" s="463"/>
      <c r="K66" s="484"/>
      <c r="L66" s="489"/>
      <c r="M66" s="544"/>
      <c r="N66" s="484"/>
      <c r="O66" s="484"/>
      <c r="P66" s="485"/>
      <c r="Q66" s="461"/>
      <c r="R66" s="252"/>
    </row>
    <row r="67" spans="2:18" s="6" customFormat="1" ht="18" customHeight="1" x14ac:dyDescent="0.2">
      <c r="B67" s="578"/>
      <c r="C67" s="463"/>
      <c r="D67" s="463"/>
      <c r="E67" s="484"/>
      <c r="F67" s="569"/>
      <c r="G67" s="538"/>
      <c r="H67" s="539"/>
      <c r="I67" s="539"/>
      <c r="J67" s="463"/>
      <c r="K67" s="484"/>
      <c r="L67" s="489"/>
      <c r="M67" s="544"/>
      <c r="N67" s="484"/>
      <c r="O67" s="484"/>
      <c r="P67" s="485"/>
      <c r="Q67" s="461"/>
      <c r="R67" s="252"/>
    </row>
    <row r="68" spans="2:18" s="6" customFormat="1" ht="18" customHeight="1" x14ac:dyDescent="0.2">
      <c r="B68" s="578"/>
      <c r="C68" s="463"/>
      <c r="D68" s="463"/>
      <c r="E68" s="484"/>
      <c r="F68" s="569"/>
      <c r="G68" s="538"/>
      <c r="H68" s="539"/>
      <c r="I68" s="539"/>
      <c r="J68" s="463"/>
      <c r="K68" s="484"/>
      <c r="L68" s="489"/>
      <c r="M68" s="544"/>
      <c r="N68" s="484"/>
      <c r="O68" s="484"/>
      <c r="P68" s="485"/>
      <c r="Q68" s="461"/>
      <c r="R68" s="252"/>
    </row>
    <row r="69" spans="2:18" s="6" customFormat="1" ht="18" customHeight="1" x14ac:dyDescent="0.2">
      <c r="B69" s="578"/>
      <c r="C69" s="463"/>
      <c r="D69" s="463"/>
      <c r="E69" s="484"/>
      <c r="F69" s="569"/>
      <c r="G69" s="538"/>
      <c r="H69" s="539"/>
      <c r="I69" s="539"/>
      <c r="J69" s="463"/>
      <c r="K69" s="484"/>
      <c r="L69" s="489"/>
      <c r="M69" s="544"/>
      <c r="N69" s="484"/>
      <c r="O69" s="484"/>
      <c r="P69" s="485"/>
      <c r="Q69" s="461"/>
      <c r="R69" s="252"/>
    </row>
    <row r="70" spans="2:18" s="6" customFormat="1" ht="18" customHeight="1" thickBot="1" x14ac:dyDescent="0.25">
      <c r="B70" s="579"/>
      <c r="C70" s="20" t="s">
        <v>81</v>
      </c>
      <c r="D70" s="20" t="s">
        <v>82</v>
      </c>
      <c r="E70" s="19" t="s">
        <v>80</v>
      </c>
      <c r="F70" s="96" t="s">
        <v>83</v>
      </c>
      <c r="G70" s="540"/>
      <c r="H70" s="541"/>
      <c r="I70" s="541"/>
      <c r="J70" s="20" t="s">
        <v>84</v>
      </c>
      <c r="K70" s="19" t="s">
        <v>11</v>
      </c>
      <c r="L70" s="175" t="s">
        <v>85</v>
      </c>
      <c r="M70" s="18" t="s">
        <v>98</v>
      </c>
      <c r="N70" s="177" t="s">
        <v>101</v>
      </c>
      <c r="O70" s="19" t="s">
        <v>10</v>
      </c>
      <c r="P70" s="486"/>
      <c r="Q70" s="228" t="s">
        <v>10</v>
      </c>
      <c r="R70" s="252"/>
    </row>
    <row r="71" spans="2:18" s="6" customFormat="1" ht="18" customHeight="1" x14ac:dyDescent="0.2">
      <c r="B71" s="169" t="str">
        <f t="shared" ref="B71:B80" si="4">IF($B40="","",$B40)</f>
        <v/>
      </c>
      <c r="C71" s="376" t="str">
        <f>$P40</f>
        <v>/</v>
      </c>
      <c r="D71" s="90" t="str">
        <f t="shared" ref="D71:D80" si="5">IF($P40="/","/",IF($C40=$D$130,"À justifier**",$P40*$F$62/1000))</f>
        <v>/</v>
      </c>
      <c r="E71" s="57" t="str">
        <f t="shared" ref="E71:E80" si="6">IF(OR($C138="C",$C138="D"),"/",IF($P40="/","/",IF($F40=0,"?",$F40)))</f>
        <v>/</v>
      </c>
      <c r="F71" s="58" t="str">
        <f t="shared" ref="F71:F80" si="7">IF(OR($C138="C",$C138="D"),"/",IF(OR($F40=0,$O40="/"),"?",($D71/$E71)*100))</f>
        <v>/</v>
      </c>
      <c r="G71" s="336" t="str">
        <f t="shared" ref="G71:G80" si="8">IF(NOT($C40=""),VLOOKUP($C40,$D$123:$F$131,3,FALSE),"")</f>
        <v/>
      </c>
      <c r="H71" s="357"/>
      <c r="I71" s="361" t="str">
        <f t="shared" ref="I71:I80" si="9">IF($D138=TRUE,"⚠️","")</f>
        <v/>
      </c>
      <c r="J71" s="172"/>
      <c r="K71" s="59"/>
      <c r="L71" s="58" t="str">
        <f t="shared" ref="L71:L80" si="10">IF($O40="/","/",IF($C138="C","À justifier**",IF($C138="D","/",IF($F40=0,"?",IF($C138="A",IF($C40=$D$123,$E71*48/1000,IF($K71="","?",$E71*HLOOKUP($K71,$G$90:$M$91,2,FALSE)/1000)),IF($C138="B",IF($J71="",$E71*$M$129*3600*24,$E71*$J71*3600*24)))))))</f>
        <v>/</v>
      </c>
      <c r="M71" s="89" t="str">
        <f t="shared" ref="M71:M80" si="11">IF(OR($L71="?",$O40=0),"?",IF($C138="C","À justifier**",IF(OR($L71="/",$O40="/"),"/",MIN($D71,$L71))))</f>
        <v>/</v>
      </c>
      <c r="N71" s="168" t="str">
        <f t="shared" ref="N71:N80" si="12">IF($O40="/","/",($G40*(1-$G$53)+$H40*(1-$H$53)+$I40*(1-$I$53)+$J40*(1-$J$53)+$L40*(1-$L$53)+$M40*(1-$M$53))*$F$62/1000)</f>
        <v>/</v>
      </c>
      <c r="O71" s="168" t="str">
        <f>IF($M71="/",$N71,IF($M71="?","?",IF($M71="À justifier**",$N71,$M71+$N71)))</f>
        <v>/</v>
      </c>
      <c r="P71" s="254" t="str">
        <f>IF($P40="/","/",IF($M71="À justifier**","À justifier**",IF(OR($L71="?",$D71+$N71=0),"?",$O71/($N71+$D71))))</f>
        <v>/</v>
      </c>
      <c r="Q71" s="253" t="str">
        <f t="shared" ref="Q71:Q80" si="13">IF($O40="/","/",IF($P71="À justifier**","/",$O138))</f>
        <v>/</v>
      </c>
      <c r="R71" s="252"/>
    </row>
    <row r="72" spans="2:18" s="6" customFormat="1" ht="18" customHeight="1" x14ac:dyDescent="0.2">
      <c r="B72" s="95" t="str">
        <f t="shared" si="4"/>
        <v/>
      </c>
      <c r="C72" s="377" t="str">
        <f t="shared" ref="C72:C80" si="14">$P41</f>
        <v>/</v>
      </c>
      <c r="D72" s="91" t="str">
        <f t="shared" si="5"/>
        <v>/</v>
      </c>
      <c r="E72" s="57" t="str">
        <f t="shared" si="6"/>
        <v>/</v>
      </c>
      <c r="F72" s="56" t="str">
        <f t="shared" si="7"/>
        <v>/</v>
      </c>
      <c r="G72" s="335" t="str">
        <f t="shared" si="8"/>
        <v/>
      </c>
      <c r="H72" s="151"/>
      <c r="I72" s="361" t="str">
        <f t="shared" si="9"/>
        <v/>
      </c>
      <c r="J72" s="172"/>
      <c r="K72" s="23"/>
      <c r="L72" s="58" t="str">
        <f t="shared" si="10"/>
        <v>/</v>
      </c>
      <c r="M72" s="89" t="str">
        <f t="shared" si="11"/>
        <v>/</v>
      </c>
      <c r="N72" s="167" t="str">
        <f t="shared" si="12"/>
        <v>/</v>
      </c>
      <c r="O72" s="168" t="str">
        <f t="shared" ref="O72:O80" si="15">IF($M72="/",$N72,IF($M72="?","?",IF($M72="À justifier**",$N72,$M72+$N72)))</f>
        <v>/</v>
      </c>
      <c r="P72" s="255" t="str">
        <f t="shared" ref="P72:P80" si="16">IF($P41="/","/",IF($M72="À justifier**","À justifier**",IF(OR($L72="?",$D72+$N72=0),"?",$O72/($N72+$D72))))</f>
        <v>/</v>
      </c>
      <c r="Q72" s="253" t="str">
        <f t="shared" si="13"/>
        <v>/</v>
      </c>
      <c r="R72" s="252"/>
    </row>
    <row r="73" spans="2:18" s="6" customFormat="1" ht="18" customHeight="1" x14ac:dyDescent="0.2">
      <c r="B73" s="95" t="str">
        <f t="shared" si="4"/>
        <v/>
      </c>
      <c r="C73" s="377" t="str">
        <f t="shared" si="14"/>
        <v>/</v>
      </c>
      <c r="D73" s="91" t="str">
        <f t="shared" si="5"/>
        <v>/</v>
      </c>
      <c r="E73" s="57" t="str">
        <f t="shared" si="6"/>
        <v>/</v>
      </c>
      <c r="F73" s="56" t="str">
        <f t="shared" si="7"/>
        <v>/</v>
      </c>
      <c r="G73" s="335" t="str">
        <f t="shared" si="8"/>
        <v/>
      </c>
      <c r="H73" s="151"/>
      <c r="I73" s="361" t="str">
        <f t="shared" si="9"/>
        <v/>
      </c>
      <c r="J73" s="172"/>
      <c r="K73" s="23"/>
      <c r="L73" s="58" t="str">
        <f t="shared" si="10"/>
        <v>/</v>
      </c>
      <c r="M73" s="89" t="str">
        <f t="shared" si="11"/>
        <v>/</v>
      </c>
      <c r="N73" s="167" t="str">
        <f t="shared" si="12"/>
        <v>/</v>
      </c>
      <c r="O73" s="168" t="str">
        <f t="shared" si="15"/>
        <v>/</v>
      </c>
      <c r="P73" s="255" t="str">
        <f t="shared" si="16"/>
        <v>/</v>
      </c>
      <c r="Q73" s="253" t="str">
        <f t="shared" si="13"/>
        <v>/</v>
      </c>
      <c r="R73" s="252"/>
    </row>
    <row r="74" spans="2:18" s="6" customFormat="1" ht="18" customHeight="1" x14ac:dyDescent="0.2">
      <c r="B74" s="95" t="str">
        <f t="shared" si="4"/>
        <v/>
      </c>
      <c r="C74" s="377" t="str">
        <f t="shared" si="14"/>
        <v>/</v>
      </c>
      <c r="D74" s="91" t="str">
        <f t="shared" si="5"/>
        <v>/</v>
      </c>
      <c r="E74" s="57" t="str">
        <f t="shared" si="6"/>
        <v>/</v>
      </c>
      <c r="F74" s="56" t="str">
        <f t="shared" si="7"/>
        <v>/</v>
      </c>
      <c r="G74" s="335" t="str">
        <f t="shared" si="8"/>
        <v/>
      </c>
      <c r="H74" s="151"/>
      <c r="I74" s="361" t="str">
        <f t="shared" si="9"/>
        <v/>
      </c>
      <c r="J74" s="172"/>
      <c r="K74" s="23"/>
      <c r="L74" s="58" t="str">
        <f t="shared" si="10"/>
        <v>/</v>
      </c>
      <c r="M74" s="89" t="str">
        <f t="shared" si="11"/>
        <v>/</v>
      </c>
      <c r="N74" s="167" t="str">
        <f t="shared" si="12"/>
        <v>/</v>
      </c>
      <c r="O74" s="168" t="str">
        <f t="shared" si="15"/>
        <v>/</v>
      </c>
      <c r="P74" s="255" t="str">
        <f t="shared" si="16"/>
        <v>/</v>
      </c>
      <c r="Q74" s="253" t="str">
        <f t="shared" si="13"/>
        <v>/</v>
      </c>
      <c r="R74" s="252"/>
    </row>
    <row r="75" spans="2:18" s="6" customFormat="1" ht="18" customHeight="1" x14ac:dyDescent="0.2">
      <c r="B75" s="95" t="str">
        <f t="shared" si="4"/>
        <v/>
      </c>
      <c r="C75" s="377" t="str">
        <f t="shared" si="14"/>
        <v>/</v>
      </c>
      <c r="D75" s="91" t="str">
        <f t="shared" si="5"/>
        <v>/</v>
      </c>
      <c r="E75" s="57" t="str">
        <f t="shared" si="6"/>
        <v>/</v>
      </c>
      <c r="F75" s="56" t="str">
        <f t="shared" si="7"/>
        <v>/</v>
      </c>
      <c r="G75" s="335" t="str">
        <f t="shared" si="8"/>
        <v/>
      </c>
      <c r="H75" s="151"/>
      <c r="I75" s="361" t="str">
        <f t="shared" si="9"/>
        <v/>
      </c>
      <c r="J75" s="172"/>
      <c r="K75" s="23"/>
      <c r="L75" s="58" t="str">
        <f t="shared" si="10"/>
        <v>/</v>
      </c>
      <c r="M75" s="89" t="str">
        <f t="shared" si="11"/>
        <v>/</v>
      </c>
      <c r="N75" s="167" t="str">
        <f t="shared" si="12"/>
        <v>/</v>
      </c>
      <c r="O75" s="168" t="str">
        <f t="shared" si="15"/>
        <v>/</v>
      </c>
      <c r="P75" s="255" t="str">
        <f t="shared" si="16"/>
        <v>/</v>
      </c>
      <c r="Q75" s="253" t="str">
        <f t="shared" si="13"/>
        <v>/</v>
      </c>
      <c r="R75" s="252"/>
    </row>
    <row r="76" spans="2:18" s="6" customFormat="1" ht="18" customHeight="1" x14ac:dyDescent="0.2">
      <c r="B76" s="95" t="str">
        <f t="shared" si="4"/>
        <v/>
      </c>
      <c r="C76" s="377" t="str">
        <f t="shared" si="14"/>
        <v>/</v>
      </c>
      <c r="D76" s="91" t="str">
        <f t="shared" si="5"/>
        <v>/</v>
      </c>
      <c r="E76" s="57" t="str">
        <f t="shared" si="6"/>
        <v>/</v>
      </c>
      <c r="F76" s="56" t="str">
        <f t="shared" si="7"/>
        <v>/</v>
      </c>
      <c r="G76" s="335" t="str">
        <f t="shared" si="8"/>
        <v/>
      </c>
      <c r="H76" s="151"/>
      <c r="I76" s="361" t="str">
        <f t="shared" si="9"/>
        <v/>
      </c>
      <c r="J76" s="172"/>
      <c r="K76" s="23"/>
      <c r="L76" s="58" t="str">
        <f t="shared" si="10"/>
        <v>/</v>
      </c>
      <c r="M76" s="89" t="str">
        <f t="shared" si="11"/>
        <v>/</v>
      </c>
      <c r="N76" s="167" t="str">
        <f t="shared" si="12"/>
        <v>/</v>
      </c>
      <c r="O76" s="168" t="str">
        <f t="shared" si="15"/>
        <v>/</v>
      </c>
      <c r="P76" s="255" t="str">
        <f t="shared" si="16"/>
        <v>/</v>
      </c>
      <c r="Q76" s="253" t="str">
        <f t="shared" si="13"/>
        <v>/</v>
      </c>
      <c r="R76" s="252"/>
    </row>
    <row r="77" spans="2:18" s="6" customFormat="1" ht="18" customHeight="1" x14ac:dyDescent="0.2">
      <c r="B77" s="95" t="str">
        <f t="shared" si="4"/>
        <v/>
      </c>
      <c r="C77" s="377" t="str">
        <f t="shared" si="14"/>
        <v>/</v>
      </c>
      <c r="D77" s="91" t="str">
        <f t="shared" si="5"/>
        <v>/</v>
      </c>
      <c r="E77" s="57" t="str">
        <f t="shared" si="6"/>
        <v>/</v>
      </c>
      <c r="F77" s="56" t="str">
        <f t="shared" si="7"/>
        <v>/</v>
      </c>
      <c r="G77" s="335" t="str">
        <f t="shared" si="8"/>
        <v/>
      </c>
      <c r="H77" s="151"/>
      <c r="I77" s="361" t="str">
        <f t="shared" si="9"/>
        <v/>
      </c>
      <c r="J77" s="172"/>
      <c r="K77" s="23"/>
      <c r="L77" s="58" t="str">
        <f t="shared" si="10"/>
        <v>/</v>
      </c>
      <c r="M77" s="89" t="str">
        <f t="shared" si="11"/>
        <v>/</v>
      </c>
      <c r="N77" s="167" t="str">
        <f t="shared" si="12"/>
        <v>/</v>
      </c>
      <c r="O77" s="168" t="str">
        <f t="shared" si="15"/>
        <v>/</v>
      </c>
      <c r="P77" s="255" t="str">
        <f t="shared" si="16"/>
        <v>/</v>
      </c>
      <c r="Q77" s="253" t="str">
        <f t="shared" si="13"/>
        <v>/</v>
      </c>
      <c r="R77" s="252"/>
    </row>
    <row r="78" spans="2:18" s="6" customFormat="1" ht="18" customHeight="1" x14ac:dyDescent="0.2">
      <c r="B78" s="95" t="str">
        <f t="shared" si="4"/>
        <v/>
      </c>
      <c r="C78" s="377" t="str">
        <f t="shared" si="14"/>
        <v>/</v>
      </c>
      <c r="D78" s="91" t="str">
        <f t="shared" si="5"/>
        <v>/</v>
      </c>
      <c r="E78" s="57" t="str">
        <f t="shared" si="6"/>
        <v>/</v>
      </c>
      <c r="F78" s="56" t="str">
        <f t="shared" si="7"/>
        <v>/</v>
      </c>
      <c r="G78" s="334" t="str">
        <f t="shared" si="8"/>
        <v/>
      </c>
      <c r="H78" s="358"/>
      <c r="I78" s="361" t="str">
        <f t="shared" si="9"/>
        <v/>
      </c>
      <c r="J78" s="172"/>
      <c r="K78" s="23"/>
      <c r="L78" s="58" t="str">
        <f t="shared" si="10"/>
        <v>/</v>
      </c>
      <c r="M78" s="89" t="str">
        <f t="shared" si="11"/>
        <v>/</v>
      </c>
      <c r="N78" s="167" t="str">
        <f t="shared" si="12"/>
        <v>/</v>
      </c>
      <c r="O78" s="168" t="str">
        <f t="shared" si="15"/>
        <v>/</v>
      </c>
      <c r="P78" s="255" t="str">
        <f t="shared" si="16"/>
        <v>/</v>
      </c>
      <c r="Q78" s="253" t="str">
        <f t="shared" si="13"/>
        <v>/</v>
      </c>
      <c r="R78" s="252"/>
    </row>
    <row r="79" spans="2:18" s="6" customFormat="1" ht="18" customHeight="1" x14ac:dyDescent="0.2">
      <c r="B79" s="95" t="str">
        <f t="shared" si="4"/>
        <v/>
      </c>
      <c r="C79" s="377" t="str">
        <f t="shared" si="14"/>
        <v>/</v>
      </c>
      <c r="D79" s="91" t="str">
        <f t="shared" si="5"/>
        <v>/</v>
      </c>
      <c r="E79" s="57" t="str">
        <f t="shared" si="6"/>
        <v>/</v>
      </c>
      <c r="F79" s="56" t="str">
        <f t="shared" si="7"/>
        <v>/</v>
      </c>
      <c r="G79" s="334" t="str">
        <f t="shared" si="8"/>
        <v/>
      </c>
      <c r="H79" s="359"/>
      <c r="I79" s="361" t="str">
        <f t="shared" si="9"/>
        <v/>
      </c>
      <c r="J79" s="172"/>
      <c r="K79" s="23"/>
      <c r="L79" s="58" t="str">
        <f t="shared" si="10"/>
        <v>/</v>
      </c>
      <c r="M79" s="89" t="str">
        <f t="shared" si="11"/>
        <v>/</v>
      </c>
      <c r="N79" s="167" t="str">
        <f t="shared" si="12"/>
        <v>/</v>
      </c>
      <c r="O79" s="168" t="str">
        <f t="shared" si="15"/>
        <v>/</v>
      </c>
      <c r="P79" s="255" t="str">
        <f t="shared" si="16"/>
        <v>/</v>
      </c>
      <c r="Q79" s="253" t="str">
        <f t="shared" si="13"/>
        <v>/</v>
      </c>
      <c r="R79" s="252"/>
    </row>
    <row r="80" spans="2:18" s="6" customFormat="1" ht="18" customHeight="1" thickBot="1" x14ac:dyDescent="0.25">
      <c r="B80" s="170" t="str">
        <f t="shared" si="4"/>
        <v/>
      </c>
      <c r="C80" s="377" t="str">
        <f t="shared" si="14"/>
        <v>/</v>
      </c>
      <c r="D80" s="91" t="str">
        <f t="shared" si="5"/>
        <v>/</v>
      </c>
      <c r="E80" s="57" t="str">
        <f t="shared" si="6"/>
        <v>/</v>
      </c>
      <c r="F80" s="56" t="str">
        <f t="shared" si="7"/>
        <v>/</v>
      </c>
      <c r="G80" s="334" t="str">
        <f t="shared" si="8"/>
        <v/>
      </c>
      <c r="H80" s="359"/>
      <c r="I80" s="361" t="str">
        <f t="shared" si="9"/>
        <v/>
      </c>
      <c r="J80" s="172"/>
      <c r="K80" s="23"/>
      <c r="L80" s="58" t="str">
        <f t="shared" si="10"/>
        <v>/</v>
      </c>
      <c r="M80" s="89" t="str">
        <f t="shared" si="11"/>
        <v>/</v>
      </c>
      <c r="N80" s="167" t="str">
        <f t="shared" si="12"/>
        <v>/</v>
      </c>
      <c r="O80" s="200" t="str">
        <f t="shared" si="15"/>
        <v>/</v>
      </c>
      <c r="P80" s="256" t="str">
        <f t="shared" si="16"/>
        <v>/</v>
      </c>
      <c r="Q80" s="253" t="str">
        <f t="shared" si="13"/>
        <v>/</v>
      </c>
      <c r="R80" s="252"/>
    </row>
    <row r="81" spans="2:18" s="6" customFormat="1" ht="18" customHeight="1" thickBot="1" x14ac:dyDescent="0.25">
      <c r="B81" s="60" t="s">
        <v>74</v>
      </c>
      <c r="C81" s="122">
        <f>SUM(C71:C80)</f>
        <v>0</v>
      </c>
      <c r="D81" s="92">
        <f>SUM(D71:D80)</f>
        <v>0</v>
      </c>
      <c r="E81" s="61">
        <f>SUM(E71:E80)</f>
        <v>0</v>
      </c>
      <c r="F81" s="62"/>
      <c r="G81" s="159"/>
      <c r="H81" s="160"/>
      <c r="I81" s="173"/>
      <c r="J81" s="171" t="s">
        <v>27</v>
      </c>
      <c r="K81" s="63" t="s">
        <v>27</v>
      </c>
      <c r="L81" s="64">
        <f>SUM(L71:L80)</f>
        <v>0</v>
      </c>
      <c r="M81" s="176">
        <f>SUM(M71:M80)</f>
        <v>0</v>
      </c>
      <c r="N81" s="174">
        <f>SUM(N71:N80)</f>
        <v>0</v>
      </c>
      <c r="O81" s="199">
        <f>SUM(O71:O80)</f>
        <v>0</v>
      </c>
      <c r="P81" s="257" t="s">
        <v>27</v>
      </c>
      <c r="Q81" s="258">
        <f>SUM(Q71:Q80)</f>
        <v>0</v>
      </c>
    </row>
    <row r="83" spans="2:18" ht="18" customHeight="1" x14ac:dyDescent="0.2">
      <c r="B83" s="577" t="s">
        <v>154</v>
      </c>
      <c r="C83" s="364" t="s">
        <v>158</v>
      </c>
      <c r="D83" s="162"/>
      <c r="E83" s="162"/>
      <c r="F83" s="162"/>
      <c r="G83" s="162"/>
      <c r="H83" s="162"/>
      <c r="I83" s="162"/>
      <c r="J83" s="162"/>
      <c r="K83" s="162"/>
      <c r="L83" s="162"/>
      <c r="M83" s="162"/>
      <c r="N83" s="162"/>
      <c r="O83" s="162"/>
      <c r="P83" s="162"/>
      <c r="Q83" s="162"/>
      <c r="R83" s="3"/>
    </row>
    <row r="84" spans="2:18" ht="18" customHeight="1" x14ac:dyDescent="0.2">
      <c r="B84" s="577"/>
      <c r="C84" s="364" t="s">
        <v>159</v>
      </c>
      <c r="D84" s="365"/>
      <c r="E84" s="162"/>
      <c r="F84" s="162"/>
      <c r="G84" s="162"/>
      <c r="H84" s="162"/>
      <c r="I84" s="162"/>
      <c r="J84" s="162"/>
      <c r="K84" s="162"/>
      <c r="L84" s="162"/>
      <c r="M84" s="162"/>
      <c r="N84" s="162"/>
      <c r="O84" s="162"/>
      <c r="P84" s="162"/>
      <c r="Q84" s="162"/>
    </row>
    <row r="85" spans="2:18" ht="7.5" customHeight="1" x14ac:dyDescent="0.2">
      <c r="B85" s="362"/>
      <c r="C85" s="366"/>
      <c r="D85" s="367"/>
      <c r="E85" s="366"/>
      <c r="F85" s="366"/>
      <c r="G85" s="366"/>
      <c r="H85" s="366"/>
      <c r="I85" s="366"/>
      <c r="J85" s="366"/>
      <c r="K85" s="366"/>
      <c r="L85" s="366"/>
      <c r="M85" s="366"/>
      <c r="N85" s="366"/>
      <c r="O85" s="366"/>
      <c r="P85" s="366"/>
      <c r="Q85" s="366"/>
    </row>
    <row r="86" spans="2:18" ht="18" customHeight="1" x14ac:dyDescent="0.2">
      <c r="B86" s="458" t="str">
        <f>IF(D148=TRUE,"⚠️","")</f>
        <v/>
      </c>
      <c r="C86" s="368" t="str">
        <f>IF(D148=TRUE,"Attention, une valeur de perméabilité par défaut (2E-07 m/s) est utilisée et doit être ajustée. Un essai d'infiltration est nécessaire pour pouvoir renseigner une valeur de perméabilité plus élevée.","")</f>
        <v/>
      </c>
      <c r="D86" s="360"/>
      <c r="E86" s="360"/>
      <c r="F86" s="360"/>
      <c r="G86" s="360"/>
      <c r="H86" s="360"/>
      <c r="I86" s="360"/>
      <c r="J86" s="360"/>
      <c r="K86" s="360"/>
      <c r="L86" s="360"/>
      <c r="M86" s="360"/>
      <c r="N86" s="360"/>
      <c r="O86" s="360"/>
      <c r="P86" s="360"/>
      <c r="Q86" s="360"/>
    </row>
    <row r="87" spans="2:18" ht="18" customHeight="1" x14ac:dyDescent="0.2">
      <c r="B87" s="458"/>
      <c r="C87" s="368" t="str">
        <f>IF(D148=TRUE,"De plus, dans les zones argileuses, il est probable que la perméabilité réelle soit plus faible que la perméabilité utilisée par défaut.","")</f>
        <v/>
      </c>
      <c r="D87" s="360"/>
      <c r="E87" s="360"/>
      <c r="F87" s="360"/>
      <c r="G87" s="373"/>
      <c r="H87" s="360"/>
      <c r="I87" s="360"/>
      <c r="J87" s="360"/>
      <c r="K87" s="360"/>
      <c r="L87" s="360"/>
      <c r="M87" s="360"/>
      <c r="N87" s="360"/>
      <c r="O87" s="360"/>
      <c r="P87" s="360"/>
      <c r="Q87" s="360"/>
    </row>
    <row r="88" spans="2:18" ht="18" customHeight="1" thickBot="1" x14ac:dyDescent="0.25"/>
    <row r="89" spans="2:18" ht="18" customHeight="1" x14ac:dyDescent="0.2">
      <c r="C89" s="342" t="s">
        <v>67</v>
      </c>
      <c r="D89" s="343"/>
      <c r="E89" s="343"/>
      <c r="F89" s="343"/>
      <c r="G89" s="344"/>
      <c r="H89" s="343"/>
      <c r="I89" s="343"/>
      <c r="J89" s="343"/>
      <c r="K89" s="343"/>
      <c r="L89" s="343"/>
      <c r="M89" s="375"/>
    </row>
    <row r="90" spans="2:18" ht="18" customHeight="1" x14ac:dyDescent="0.2">
      <c r="B90" s="166"/>
      <c r="C90" s="105" t="s">
        <v>66</v>
      </c>
      <c r="D90" s="203"/>
      <c r="E90" s="203"/>
      <c r="F90" s="339"/>
      <c r="G90" s="340" t="s">
        <v>183</v>
      </c>
      <c r="H90" s="340" t="s">
        <v>178</v>
      </c>
      <c r="I90" s="340" t="s">
        <v>179</v>
      </c>
      <c r="J90" s="340" t="s">
        <v>180</v>
      </c>
      <c r="K90" s="340" t="s">
        <v>181</v>
      </c>
      <c r="L90" s="340" t="s">
        <v>182</v>
      </c>
      <c r="M90" s="341" t="s">
        <v>16</v>
      </c>
    </row>
    <row r="91" spans="2:18" ht="18" customHeight="1" thickBot="1" x14ac:dyDescent="0.25">
      <c r="C91" s="189" t="s">
        <v>68</v>
      </c>
      <c r="D91" s="190"/>
      <c r="E91" s="190"/>
      <c r="F91" s="191"/>
      <c r="G91" s="192">
        <v>4</v>
      </c>
      <c r="H91" s="192">
        <v>8</v>
      </c>
      <c r="I91" s="192">
        <v>12</v>
      </c>
      <c r="J91" s="192">
        <v>16</v>
      </c>
      <c r="K91" s="192">
        <v>22</v>
      </c>
      <c r="L91" s="192">
        <v>32</v>
      </c>
      <c r="M91" s="49">
        <v>38</v>
      </c>
    </row>
    <row r="95" spans="2:18" ht="18" customHeight="1" x14ac:dyDescent="0.2">
      <c r="B95" s="244" t="s">
        <v>95</v>
      </c>
      <c r="C95" s="137"/>
      <c r="D95" s="137"/>
      <c r="E95" s="137"/>
      <c r="F95" s="137"/>
      <c r="G95" s="137"/>
      <c r="H95" s="137"/>
      <c r="I95" s="137"/>
      <c r="J95" s="137"/>
      <c r="K95" s="137"/>
      <c r="L95" s="137"/>
      <c r="M95" s="137"/>
      <c r="N95" s="137"/>
      <c r="O95" s="137"/>
      <c r="P95" s="137"/>
      <c r="Q95" s="137"/>
    </row>
    <row r="96" spans="2:18" ht="18" customHeight="1" thickBot="1" x14ac:dyDescent="0.25"/>
    <row r="97" spans="2:17" ht="18" customHeight="1" thickBot="1" x14ac:dyDescent="0.25">
      <c r="B97" s="217" t="s">
        <v>39</v>
      </c>
      <c r="C97" s="218"/>
      <c r="D97" s="218"/>
      <c r="E97" s="219" t="str">
        <f>IF($E$23=0,"?",$E$23)</f>
        <v>?</v>
      </c>
      <c r="G97" s="233" t="s">
        <v>128</v>
      </c>
      <c r="H97" s="271"/>
      <c r="I97" s="271"/>
      <c r="J97" s="271"/>
      <c r="K97" s="271"/>
      <c r="L97" s="220" t="str">
        <f>IF($E$97="?","?",$E$97*$F$62/1000)</f>
        <v>?</v>
      </c>
    </row>
    <row r="99" spans="2:17" ht="18" customHeight="1" thickBot="1" x14ac:dyDescent="0.25">
      <c r="B99" s="4" t="s">
        <v>214</v>
      </c>
      <c r="C99" s="117"/>
      <c r="D99" s="117"/>
      <c r="E99" s="117"/>
      <c r="G99" s="4" t="s">
        <v>221</v>
      </c>
      <c r="N99" s="211"/>
      <c r="O99" s="211"/>
      <c r="P99" s="211"/>
      <c r="Q99" s="211"/>
    </row>
    <row r="100" spans="2:17" ht="18" customHeight="1" thickTop="1" thickBot="1" x14ac:dyDescent="0.25">
      <c r="C100" s="117"/>
      <c r="D100" s="117"/>
      <c r="E100" s="209" t="s">
        <v>3</v>
      </c>
      <c r="K100" s="209" t="s">
        <v>10</v>
      </c>
      <c r="L100" s="209" t="s">
        <v>111</v>
      </c>
      <c r="M100" s="212"/>
      <c r="N100" s="468" t="s">
        <v>112</v>
      </c>
      <c r="O100" s="469"/>
      <c r="P100" s="470"/>
      <c r="Q100" s="519" t="str">
        <f>IF($E$23=0,"?",$K$105/$L$97)</f>
        <v>?</v>
      </c>
    </row>
    <row r="101" spans="2:17" ht="18" customHeight="1" x14ac:dyDescent="0.2">
      <c r="B101" s="156" t="s">
        <v>150</v>
      </c>
      <c r="C101" s="350"/>
      <c r="D101" s="351"/>
      <c r="E101" s="345">
        <f>$E$148</f>
        <v>0</v>
      </c>
      <c r="G101" s="430" t="s">
        <v>222</v>
      </c>
      <c r="H101" s="431"/>
      <c r="I101" s="431"/>
      <c r="J101" s="431"/>
      <c r="K101" s="432"/>
      <c r="L101" s="433"/>
      <c r="M101" s="237"/>
      <c r="N101" s="471"/>
      <c r="O101" s="472"/>
      <c r="P101" s="473"/>
      <c r="Q101" s="520"/>
    </row>
    <row r="102" spans="2:17" ht="18" customHeight="1" x14ac:dyDescent="0.2">
      <c r="B102" s="496" t="s">
        <v>168</v>
      </c>
      <c r="C102" s="497"/>
      <c r="D102" s="498"/>
      <c r="E102" s="502">
        <f>$F$148</f>
        <v>0</v>
      </c>
      <c r="F102" s="291"/>
      <c r="G102" s="210" t="s">
        <v>195</v>
      </c>
      <c r="H102" s="201"/>
      <c r="I102" s="202"/>
      <c r="J102" s="203"/>
      <c r="K102" s="205">
        <f>$N$81</f>
        <v>0</v>
      </c>
      <c r="L102" s="207" t="str">
        <f>IF($E$97="?","?",$K102/$L$97)</f>
        <v>?</v>
      </c>
      <c r="M102" s="212"/>
      <c r="N102" s="471"/>
      <c r="O102" s="472"/>
      <c r="P102" s="473"/>
      <c r="Q102" s="520"/>
    </row>
    <row r="103" spans="2:17" ht="18" customHeight="1" x14ac:dyDescent="0.2">
      <c r="B103" s="499"/>
      <c r="C103" s="500"/>
      <c r="D103" s="501"/>
      <c r="E103" s="503"/>
      <c r="G103" s="132" t="s">
        <v>196</v>
      </c>
      <c r="H103" s="130"/>
      <c r="I103" s="131"/>
      <c r="J103" s="37"/>
      <c r="K103" s="204">
        <f>$M81</f>
        <v>0</v>
      </c>
      <c r="L103" s="207" t="str">
        <f>IF($E$97="?","?",$K103/$L$97)</f>
        <v>?</v>
      </c>
      <c r="M103" s="212"/>
      <c r="N103" s="471"/>
      <c r="O103" s="472"/>
      <c r="P103" s="473"/>
      <c r="Q103" s="520"/>
    </row>
    <row r="104" spans="2:17" ht="18" customHeight="1" thickBot="1" x14ac:dyDescent="0.25">
      <c r="B104" s="352" t="s">
        <v>151</v>
      </c>
      <c r="C104" s="353"/>
      <c r="D104" s="354"/>
      <c r="E104" s="346">
        <f>$G$148</f>
        <v>0</v>
      </c>
      <c r="G104" s="239" t="s">
        <v>197</v>
      </c>
      <c r="H104" s="240"/>
      <c r="I104" s="241"/>
      <c r="J104" s="372" t="str">
        <f>IF($K$104&gt;0,"À justifier","")</f>
        <v/>
      </c>
      <c r="K104" s="243">
        <f>N148</f>
        <v>0</v>
      </c>
      <c r="L104" s="207" t="str">
        <f>IF($E$97="?","?",$K104/$L$97)</f>
        <v>?</v>
      </c>
      <c r="M104" s="212"/>
      <c r="N104" s="474"/>
      <c r="O104" s="475"/>
      <c r="P104" s="476"/>
      <c r="Q104" s="521"/>
    </row>
    <row r="105" spans="2:17" ht="18" customHeight="1" thickTop="1" thickBot="1" x14ac:dyDescent="0.25">
      <c r="B105" s="379" t="s">
        <v>152</v>
      </c>
      <c r="C105" s="380"/>
      <c r="D105" s="381"/>
      <c r="E105" s="346">
        <f>$H$148</f>
        <v>0</v>
      </c>
      <c r="G105" s="434" t="s">
        <v>118</v>
      </c>
      <c r="H105" s="435"/>
      <c r="I105" s="435"/>
      <c r="J105" s="435"/>
      <c r="K105" s="436">
        <f>SUM($K$102:$K$104)</f>
        <v>0</v>
      </c>
      <c r="L105" s="437" t="str">
        <f>IF($E$97="?","?",$K105/$L$97)</f>
        <v>?</v>
      </c>
    </row>
    <row r="106" spans="2:17" ht="18" customHeight="1" x14ac:dyDescent="0.2">
      <c r="B106" s="508" t="s">
        <v>169</v>
      </c>
      <c r="C106" s="509"/>
      <c r="D106" s="509"/>
      <c r="E106" s="514">
        <f>$I$148</f>
        <v>0</v>
      </c>
      <c r="F106" s="378"/>
      <c r="G106" s="438" t="s">
        <v>223</v>
      </c>
      <c r="H106" s="439"/>
      <c r="I106" s="440"/>
      <c r="J106" s="441"/>
      <c r="K106" s="442"/>
      <c r="L106" s="443"/>
      <c r="N106" s="7" t="s">
        <v>162</v>
      </c>
    </row>
    <row r="107" spans="2:17" ht="18" customHeight="1" x14ac:dyDescent="0.2">
      <c r="B107" s="508"/>
      <c r="C107" s="509"/>
      <c r="D107" s="509"/>
      <c r="E107" s="514"/>
      <c r="G107" s="210" t="s">
        <v>198</v>
      </c>
      <c r="H107" s="201"/>
      <c r="I107" s="202"/>
      <c r="J107" s="203"/>
      <c r="K107" s="205">
        <f>O148</f>
        <v>0</v>
      </c>
      <c r="L107" s="207" t="str">
        <f>IF($E$97="?","?",$K107/$L$97)</f>
        <v>?</v>
      </c>
      <c r="N107" s="213" t="s">
        <v>129</v>
      </c>
    </row>
    <row r="108" spans="2:17" ht="18" customHeight="1" x14ac:dyDescent="0.2">
      <c r="B108" s="510" t="s">
        <v>170</v>
      </c>
      <c r="C108" s="511"/>
      <c r="D108" s="511"/>
      <c r="E108" s="515">
        <f>$J$148</f>
        <v>0</v>
      </c>
      <c r="F108" s="378"/>
      <c r="G108" s="239" t="s">
        <v>199</v>
      </c>
      <c r="H108" s="240"/>
      <c r="I108" s="241"/>
      <c r="J108" s="242"/>
      <c r="K108" s="243">
        <f>$E$111*$F$62/1000</f>
        <v>0</v>
      </c>
      <c r="L108" s="207" t="str">
        <f>IF($E$97="?","?",$K108/$L$97)</f>
        <v>?</v>
      </c>
      <c r="N108" s="213" t="s">
        <v>130</v>
      </c>
    </row>
    <row r="109" spans="2:17" ht="18" customHeight="1" thickBot="1" x14ac:dyDescent="0.25">
      <c r="B109" s="512"/>
      <c r="C109" s="513"/>
      <c r="D109" s="513"/>
      <c r="E109" s="516"/>
      <c r="G109" s="444" t="s">
        <v>118</v>
      </c>
      <c r="H109" s="445"/>
      <c r="I109" s="445"/>
      <c r="J109" s="445"/>
      <c r="K109" s="446">
        <f>K107+K108</f>
        <v>0</v>
      </c>
      <c r="L109" s="447" t="str">
        <f>IF($E$97="?","?",$K109/$L$97)</f>
        <v>?</v>
      </c>
    </row>
    <row r="110" spans="2:17" ht="18" customHeight="1" thickBot="1" x14ac:dyDescent="0.25">
      <c r="B110" s="347" t="s">
        <v>117</v>
      </c>
      <c r="C110" s="348"/>
      <c r="D110" s="349"/>
      <c r="E110" s="236">
        <f>$O$50</f>
        <v>0</v>
      </c>
      <c r="G110" s="157" t="s">
        <v>74</v>
      </c>
      <c r="H110" s="158"/>
      <c r="I110" s="158"/>
      <c r="J110" s="158"/>
      <c r="K110" s="206">
        <f>$K$105+$K$109</f>
        <v>0</v>
      </c>
      <c r="L110" s="208" t="str">
        <f>IF(E97="?","?",$L$105+$L$109)</f>
        <v>?</v>
      </c>
    </row>
    <row r="111" spans="2:17" ht="18" customHeight="1" x14ac:dyDescent="0.2">
      <c r="B111" s="464" t="s">
        <v>110</v>
      </c>
      <c r="C111" s="465"/>
      <c r="D111" s="465"/>
      <c r="E111" s="506">
        <f>IF($E$23&lt;=$E$110,0,$E$23-$E$110)</f>
        <v>0</v>
      </c>
    </row>
    <row r="112" spans="2:17" ht="18" customHeight="1" thickBot="1" x14ac:dyDescent="0.25">
      <c r="B112" s="466"/>
      <c r="C112" s="467"/>
      <c r="D112" s="467"/>
      <c r="E112" s="507"/>
    </row>
    <row r="113" spans="2:17" ht="18" customHeight="1" thickBot="1" x14ac:dyDescent="0.25">
      <c r="B113" s="214" t="s">
        <v>74</v>
      </c>
      <c r="C113" s="216"/>
      <c r="D113" s="215"/>
      <c r="E113" s="185">
        <f>$E$110+$E$111</f>
        <v>0</v>
      </c>
    </row>
    <row r="117" spans="2:17" ht="15" customHeight="1" x14ac:dyDescent="0.2">
      <c r="B117" s="393" t="s">
        <v>228</v>
      </c>
      <c r="C117" s="394"/>
      <c r="D117" s="394"/>
      <c r="E117" s="394"/>
      <c r="F117" s="394"/>
      <c r="G117" s="394"/>
      <c r="H117" s="394"/>
      <c r="I117" s="394"/>
      <c r="J117" s="394"/>
      <c r="K117" s="394"/>
      <c r="L117" s="394"/>
      <c r="M117" s="394"/>
      <c r="N117" s="394"/>
      <c r="O117" s="394"/>
      <c r="P117" s="394"/>
      <c r="Q117" s="394"/>
    </row>
    <row r="118" spans="2:17" ht="15" customHeight="1" x14ac:dyDescent="0.2">
      <c r="B118" s="395" t="s">
        <v>176</v>
      </c>
      <c r="C118" s="394"/>
      <c r="D118" s="394"/>
      <c r="E118" s="394"/>
      <c r="F118" s="394"/>
      <c r="G118" s="394"/>
      <c r="H118" s="394"/>
      <c r="I118" s="394"/>
      <c r="J118" s="394"/>
      <c r="K118" s="394"/>
      <c r="L118" s="394"/>
      <c r="M118" s="394"/>
      <c r="N118" s="394"/>
      <c r="O118" s="394"/>
      <c r="P118" s="394"/>
      <c r="Q118" s="394"/>
    </row>
    <row r="119" spans="2:17" ht="18" customHeight="1" x14ac:dyDescent="0.2">
      <c r="B119" s="392"/>
    </row>
    <row r="120" spans="2:17" ht="18" hidden="1" customHeight="1" x14ac:dyDescent="0.2">
      <c r="B120" s="331" t="s">
        <v>92</v>
      </c>
      <c r="C120" s="332"/>
      <c r="D120" s="331"/>
      <c r="E120" s="333"/>
      <c r="F120" s="332"/>
      <c r="G120" s="332"/>
      <c r="H120" s="332"/>
      <c r="I120" s="332"/>
      <c r="J120" s="332"/>
      <c r="K120" s="332"/>
      <c r="L120" s="332"/>
      <c r="M120" s="332"/>
      <c r="N120" s="332"/>
      <c r="O120" s="332"/>
      <c r="P120" s="332"/>
      <c r="Q120" s="332"/>
    </row>
    <row r="121" spans="2:17" ht="18" hidden="1" customHeight="1" thickBot="1" x14ac:dyDescent="0.25"/>
    <row r="122" spans="2:17" ht="81" hidden="1" thickBot="1" x14ac:dyDescent="0.25">
      <c r="B122" s="143"/>
      <c r="C122" s="39"/>
      <c r="D122" s="107" t="s">
        <v>14</v>
      </c>
      <c r="E122" s="138" t="s">
        <v>69</v>
      </c>
      <c r="F122" s="41" t="s">
        <v>35</v>
      </c>
      <c r="G122" s="39"/>
      <c r="H122" s="40"/>
      <c r="I122" s="42" t="s">
        <v>43</v>
      </c>
    </row>
    <row r="123" spans="2:17" ht="18" hidden="1" customHeight="1" thickBot="1" x14ac:dyDescent="0.25">
      <c r="B123" s="144"/>
      <c r="C123" s="98"/>
      <c r="D123" s="145" t="s">
        <v>49</v>
      </c>
      <c r="E123" s="139" t="s">
        <v>33</v>
      </c>
      <c r="F123" s="44" t="s">
        <v>163</v>
      </c>
      <c r="G123" s="36"/>
      <c r="H123" s="43"/>
      <c r="I123" s="45" t="s">
        <v>42</v>
      </c>
      <c r="K123" s="525" t="s">
        <v>12</v>
      </c>
      <c r="L123" s="526"/>
      <c r="M123" s="527"/>
      <c r="O123" s="112" t="s">
        <v>13</v>
      </c>
      <c r="P123" s="107"/>
    </row>
    <row r="124" spans="2:17" ht="18" hidden="1" customHeight="1" x14ac:dyDescent="0.2">
      <c r="B124" s="146"/>
      <c r="C124" s="99"/>
      <c r="D124" s="147" t="s">
        <v>54</v>
      </c>
      <c r="E124" s="140" t="s">
        <v>33</v>
      </c>
      <c r="F124" s="26" t="s">
        <v>40</v>
      </c>
      <c r="G124" s="37"/>
      <c r="H124" s="38"/>
      <c r="I124" s="33" t="s">
        <v>5</v>
      </c>
      <c r="K124" s="50" t="s">
        <v>5</v>
      </c>
      <c r="L124" s="51" t="s">
        <v>41</v>
      </c>
      <c r="M124" s="52"/>
      <c r="O124" s="105" t="s">
        <v>0</v>
      </c>
      <c r="P124" s="106"/>
    </row>
    <row r="125" spans="2:17" ht="18" hidden="1" customHeight="1" x14ac:dyDescent="0.2">
      <c r="B125" s="146"/>
      <c r="C125" s="99"/>
      <c r="D125" s="147" t="s">
        <v>4</v>
      </c>
      <c r="E125" s="140" t="s">
        <v>33</v>
      </c>
      <c r="F125" s="26" t="s">
        <v>40</v>
      </c>
      <c r="G125" s="37"/>
      <c r="H125" s="38"/>
      <c r="I125" s="33" t="s">
        <v>5</v>
      </c>
      <c r="K125" s="53" t="s">
        <v>6</v>
      </c>
      <c r="L125" s="26" t="s">
        <v>9</v>
      </c>
      <c r="M125" s="54"/>
      <c r="O125" s="103" t="s">
        <v>53</v>
      </c>
      <c r="P125" s="54"/>
    </row>
    <row r="126" spans="2:17" ht="18" hidden="1" customHeight="1" thickBot="1" x14ac:dyDescent="0.25">
      <c r="B126" s="148"/>
      <c r="C126" s="100"/>
      <c r="D126" s="149" t="s">
        <v>149</v>
      </c>
      <c r="E126" s="140" t="s">
        <v>33</v>
      </c>
      <c r="F126" s="26" t="s">
        <v>9</v>
      </c>
      <c r="G126" s="37"/>
      <c r="H126" s="38"/>
      <c r="I126" s="33" t="s">
        <v>6</v>
      </c>
      <c r="K126" s="53" t="s">
        <v>7</v>
      </c>
      <c r="L126" s="26" t="s">
        <v>38</v>
      </c>
      <c r="M126" s="67"/>
      <c r="O126" s="104" t="s">
        <v>1</v>
      </c>
      <c r="P126" s="55"/>
    </row>
    <row r="127" spans="2:17" ht="18" hidden="1" customHeight="1" thickBot="1" x14ac:dyDescent="0.25">
      <c r="B127" s="148"/>
      <c r="C127" s="100"/>
      <c r="D127" s="149" t="s">
        <v>70</v>
      </c>
      <c r="E127" s="140" t="s">
        <v>33</v>
      </c>
      <c r="F127" s="26" t="s">
        <v>9</v>
      </c>
      <c r="G127" s="37"/>
      <c r="H127" s="38"/>
      <c r="I127" s="33" t="s">
        <v>6</v>
      </c>
      <c r="K127" s="65" t="s">
        <v>8</v>
      </c>
      <c r="L127" s="66" t="s">
        <v>65</v>
      </c>
      <c r="M127" s="55"/>
    </row>
    <row r="128" spans="2:17" ht="18" hidden="1" customHeight="1" thickBot="1" x14ac:dyDescent="0.25">
      <c r="B128" s="150"/>
      <c r="C128" s="151"/>
      <c r="D128" s="152" t="s">
        <v>71</v>
      </c>
      <c r="E128" s="141" t="s">
        <v>34</v>
      </c>
      <c r="F128" s="26" t="s">
        <v>9</v>
      </c>
      <c r="G128" s="37"/>
      <c r="H128" s="38"/>
      <c r="I128" s="33" t="s">
        <v>6</v>
      </c>
      <c r="O128" s="108" t="s">
        <v>86</v>
      </c>
      <c r="P128" s="34"/>
    </row>
    <row r="129" spans="2:26" ht="18" hidden="1" customHeight="1" thickBot="1" x14ac:dyDescent="0.25">
      <c r="B129" s="150"/>
      <c r="C129" s="151"/>
      <c r="D129" s="152" t="s">
        <v>50</v>
      </c>
      <c r="E129" s="141" t="s">
        <v>34</v>
      </c>
      <c r="F129" s="26" t="s">
        <v>9</v>
      </c>
      <c r="G129" s="37"/>
      <c r="H129" s="38"/>
      <c r="I129" s="33" t="s">
        <v>6</v>
      </c>
      <c r="K129" s="108" t="s">
        <v>153</v>
      </c>
      <c r="L129" s="355"/>
      <c r="M129" s="356">
        <v>1.9999999999999999E-7</v>
      </c>
      <c r="O129" s="105" t="s">
        <v>124</v>
      </c>
      <c r="P129" s="106"/>
    </row>
    <row r="130" spans="2:26" ht="18" hidden="1" customHeight="1" x14ac:dyDescent="0.2">
      <c r="B130" s="150"/>
      <c r="C130" s="151"/>
      <c r="D130" s="152" t="s">
        <v>60</v>
      </c>
      <c r="E130" s="141" t="s">
        <v>34</v>
      </c>
      <c r="F130" s="26" t="s">
        <v>107</v>
      </c>
      <c r="G130" s="37"/>
      <c r="H130" s="38"/>
      <c r="I130" s="33" t="s">
        <v>7</v>
      </c>
      <c r="O130" s="103" t="s">
        <v>29</v>
      </c>
      <c r="P130" s="54"/>
    </row>
    <row r="131" spans="2:26" ht="18" hidden="1" customHeight="1" thickBot="1" x14ac:dyDescent="0.25">
      <c r="B131" s="153"/>
      <c r="C131" s="154"/>
      <c r="D131" s="155" t="s">
        <v>65</v>
      </c>
      <c r="E131" s="142" t="s">
        <v>34</v>
      </c>
      <c r="F131" s="48" t="s">
        <v>65</v>
      </c>
      <c r="G131" s="46"/>
      <c r="H131" s="47"/>
      <c r="I131" s="49" t="s">
        <v>8</v>
      </c>
      <c r="O131" s="104" t="s">
        <v>30</v>
      </c>
      <c r="P131" s="55"/>
    </row>
    <row r="132" spans="2:26" ht="18" hidden="1" customHeight="1" x14ac:dyDescent="0.2"/>
    <row r="133" spans="2:26" ht="18" hidden="1" customHeight="1" thickBot="1" x14ac:dyDescent="0.25">
      <c r="W133" s="97"/>
    </row>
    <row r="134" spans="2:26" ht="18" hidden="1" customHeight="1" thickBot="1" x14ac:dyDescent="0.25">
      <c r="E134" s="233" t="s">
        <v>90</v>
      </c>
      <c r="F134" s="234"/>
      <c r="G134" s="234"/>
      <c r="H134" s="234"/>
      <c r="I134" s="234"/>
      <c r="J134" s="234"/>
      <c r="K134" s="235"/>
      <c r="L134" s="274" t="s">
        <v>108</v>
      </c>
      <c r="M134" s="234"/>
      <c r="N134" s="234"/>
      <c r="O134" s="234"/>
      <c r="P134" s="382"/>
      <c r="Z134" s="97"/>
    </row>
    <row r="135" spans="2:26" ht="80" hidden="1" x14ac:dyDescent="0.2">
      <c r="B135" s="490" t="s">
        <v>45</v>
      </c>
      <c r="C135" s="493" t="s">
        <v>12</v>
      </c>
      <c r="D135" s="522" t="s">
        <v>173</v>
      </c>
      <c r="E135" s="226" t="s">
        <v>150</v>
      </c>
      <c r="F135" s="227" t="s">
        <v>171</v>
      </c>
      <c r="G135" s="227" t="s">
        <v>151</v>
      </c>
      <c r="H135" s="227" t="s">
        <v>152</v>
      </c>
      <c r="I135" s="391" t="s">
        <v>174</v>
      </c>
      <c r="J135" s="391" t="s">
        <v>175</v>
      </c>
      <c r="K135" s="504" t="s">
        <v>77</v>
      </c>
      <c r="L135" s="530" t="s">
        <v>113</v>
      </c>
      <c r="M135" s="528" t="s">
        <v>172</v>
      </c>
      <c r="N135" s="532" t="s">
        <v>114</v>
      </c>
      <c r="O135" s="534" t="s">
        <v>115</v>
      </c>
      <c r="P135" s="517" t="s">
        <v>116</v>
      </c>
    </row>
    <row r="136" spans="2:26" ht="6" hidden="1" customHeight="1" x14ac:dyDescent="0.2">
      <c r="B136" s="491"/>
      <c r="C136" s="494"/>
      <c r="D136" s="523"/>
      <c r="E136" s="127"/>
      <c r="F136" s="102"/>
      <c r="G136" s="101"/>
      <c r="H136" s="101"/>
      <c r="I136" s="390"/>
      <c r="J136" s="385"/>
      <c r="K136" s="505"/>
      <c r="L136" s="531"/>
      <c r="M136" s="529"/>
      <c r="N136" s="533"/>
      <c r="O136" s="535"/>
      <c r="P136" s="518"/>
    </row>
    <row r="137" spans="2:26" ht="18" hidden="1" customHeight="1" thickBot="1" x14ac:dyDescent="0.25">
      <c r="B137" s="492"/>
      <c r="C137" s="495"/>
      <c r="D137" s="524"/>
      <c r="E137" s="128" t="s">
        <v>3</v>
      </c>
      <c r="F137" s="129" t="s">
        <v>3</v>
      </c>
      <c r="G137" s="129" t="s">
        <v>3</v>
      </c>
      <c r="H137" s="386" t="s">
        <v>3</v>
      </c>
      <c r="I137" s="129" t="s">
        <v>3</v>
      </c>
      <c r="J137" s="129" t="s">
        <v>3</v>
      </c>
      <c r="K137" s="222" t="s">
        <v>91</v>
      </c>
      <c r="L137" s="18" t="s">
        <v>98</v>
      </c>
      <c r="M137" s="177" t="s">
        <v>101</v>
      </c>
      <c r="N137" s="20" t="s">
        <v>10</v>
      </c>
      <c r="O137" s="228" t="s">
        <v>10</v>
      </c>
      <c r="P137" s="383" t="s">
        <v>10</v>
      </c>
    </row>
    <row r="138" spans="2:26" ht="18" hidden="1" customHeight="1" x14ac:dyDescent="0.2">
      <c r="B138" s="124">
        <f t="shared" ref="B138:B147" si="17">B40</f>
        <v>0</v>
      </c>
      <c r="C138" s="109" t="str">
        <f t="shared" ref="C138:C147" si="18">IF($G71=$F$123,IF($J71="","A","B"),IF($G71=$F$124,"A",IF($G71=$F$126,"B",IF($G71=$F$130,"C","D"))))</f>
        <v>D</v>
      </c>
      <c r="D138" s="231" t="b">
        <f t="shared" ref="D138:D147" si="19">IF(AND($G71="Infiltration",$J71=""),TRUE,FALSE)</f>
        <v>0</v>
      </c>
      <c r="E138" s="125">
        <f t="shared" ref="E138:E147" si="20">$G40+IF($C40=$D$123,$F40,0)</f>
        <v>0</v>
      </c>
      <c r="F138" s="126">
        <f t="shared" ref="F138:F147" si="21">SUM($H40:$I40)+IF(OR($C40=$D$124,$C40=$D$125),$F40,0)</f>
        <v>0</v>
      </c>
      <c r="G138" s="126">
        <f t="shared" ref="G138:G147" si="22">$L40+IF(OR($C40=$D$126,$C40=$D$127),$F40,0)</f>
        <v>0</v>
      </c>
      <c r="H138" s="126">
        <f t="shared" ref="H138:H147" si="23">$M40</f>
        <v>0</v>
      </c>
      <c r="I138" s="126">
        <f t="shared" ref="I138:I147" si="24">IF(NOT($C40=$D$131),$J40+$K40+$N40,0)</f>
        <v>0</v>
      </c>
      <c r="J138" s="387">
        <f t="shared" ref="J138:J147" si="25">IF($C40=$D$131,$J40+$K40+$N40,0)</f>
        <v>0</v>
      </c>
      <c r="K138" s="223">
        <f>SUM(E138:J138)</f>
        <v>0</v>
      </c>
      <c r="L138" s="275">
        <f t="shared" ref="L138:L147" si="26">IF(OR($C138="A",$C138="B"),$M71,0)</f>
        <v>0</v>
      </c>
      <c r="M138" s="272" t="str">
        <f t="shared" ref="M138:M147" si="27">$N71</f>
        <v>/</v>
      </c>
      <c r="N138" s="221">
        <f>IF($C138="C",IF($O40="/",0,$C71*$F$62/1000),0)</f>
        <v>0</v>
      </c>
      <c r="O138" s="229">
        <f t="shared" ref="O138:O147" si="28">IF($K138=0,0,IF($L138="?","?",IF($D71="À justifier**",0,$D71-$L138-$N138)))</f>
        <v>0</v>
      </c>
      <c r="P138" s="384">
        <f>SUM(L138:O138)</f>
        <v>0</v>
      </c>
    </row>
    <row r="139" spans="2:26" ht="18" hidden="1" customHeight="1" x14ac:dyDescent="0.2">
      <c r="B139" s="118">
        <f t="shared" si="17"/>
        <v>0</v>
      </c>
      <c r="C139" s="110" t="str">
        <f t="shared" si="18"/>
        <v>D</v>
      </c>
      <c r="D139" s="231" t="b">
        <f t="shared" si="19"/>
        <v>0</v>
      </c>
      <c r="E139" s="113">
        <f t="shared" si="20"/>
        <v>0</v>
      </c>
      <c r="F139" s="114">
        <f t="shared" si="21"/>
        <v>0</v>
      </c>
      <c r="G139" s="114">
        <f t="shared" si="22"/>
        <v>0</v>
      </c>
      <c r="H139" s="114">
        <f t="shared" si="23"/>
        <v>0</v>
      </c>
      <c r="I139" s="114">
        <f t="shared" si="24"/>
        <v>0</v>
      </c>
      <c r="J139" s="388">
        <f t="shared" si="25"/>
        <v>0</v>
      </c>
      <c r="K139" s="223">
        <f t="shared" ref="K139:K147" si="29">SUM(E139:J139)</f>
        <v>0</v>
      </c>
      <c r="L139" s="275">
        <f t="shared" si="26"/>
        <v>0</v>
      </c>
      <c r="M139" s="272" t="str">
        <f t="shared" si="27"/>
        <v>/</v>
      </c>
      <c r="N139" s="221">
        <f t="shared" ref="N139:N147" si="30">IF($C139="C",IF($O41="/",0,$C72*$F$62/1000),0)</f>
        <v>0</v>
      </c>
      <c r="O139" s="229">
        <f t="shared" si="28"/>
        <v>0</v>
      </c>
      <c r="P139" s="384">
        <f t="shared" ref="P139:P147" si="31">SUM(L139:O139)</f>
        <v>0</v>
      </c>
    </row>
    <row r="140" spans="2:26" ht="18" hidden="1" customHeight="1" x14ac:dyDescent="0.2">
      <c r="B140" s="118">
        <f t="shared" si="17"/>
        <v>0</v>
      </c>
      <c r="C140" s="110" t="str">
        <f t="shared" si="18"/>
        <v>D</v>
      </c>
      <c r="D140" s="231" t="b">
        <f t="shared" si="19"/>
        <v>0</v>
      </c>
      <c r="E140" s="113">
        <f t="shared" si="20"/>
        <v>0</v>
      </c>
      <c r="F140" s="114">
        <f t="shared" si="21"/>
        <v>0</v>
      </c>
      <c r="G140" s="114">
        <f t="shared" si="22"/>
        <v>0</v>
      </c>
      <c r="H140" s="114">
        <f t="shared" si="23"/>
        <v>0</v>
      </c>
      <c r="I140" s="114">
        <f t="shared" si="24"/>
        <v>0</v>
      </c>
      <c r="J140" s="388">
        <f t="shared" si="25"/>
        <v>0</v>
      </c>
      <c r="K140" s="223">
        <f t="shared" si="29"/>
        <v>0</v>
      </c>
      <c r="L140" s="275">
        <f t="shared" si="26"/>
        <v>0</v>
      </c>
      <c r="M140" s="272" t="str">
        <f t="shared" si="27"/>
        <v>/</v>
      </c>
      <c r="N140" s="221">
        <f t="shared" si="30"/>
        <v>0</v>
      </c>
      <c r="O140" s="229">
        <f t="shared" si="28"/>
        <v>0</v>
      </c>
      <c r="P140" s="384">
        <f t="shared" si="31"/>
        <v>0</v>
      </c>
    </row>
    <row r="141" spans="2:26" ht="18" hidden="1" customHeight="1" x14ac:dyDescent="0.2">
      <c r="B141" s="118">
        <f t="shared" si="17"/>
        <v>0</v>
      </c>
      <c r="C141" s="110" t="str">
        <f t="shared" si="18"/>
        <v>D</v>
      </c>
      <c r="D141" s="231" t="b">
        <f t="shared" si="19"/>
        <v>0</v>
      </c>
      <c r="E141" s="113">
        <f t="shared" si="20"/>
        <v>0</v>
      </c>
      <c r="F141" s="114">
        <f t="shared" si="21"/>
        <v>0</v>
      </c>
      <c r="G141" s="114">
        <f t="shared" si="22"/>
        <v>0</v>
      </c>
      <c r="H141" s="114">
        <f t="shared" si="23"/>
        <v>0</v>
      </c>
      <c r="I141" s="114">
        <f t="shared" si="24"/>
        <v>0</v>
      </c>
      <c r="J141" s="388">
        <f t="shared" si="25"/>
        <v>0</v>
      </c>
      <c r="K141" s="223">
        <f t="shared" si="29"/>
        <v>0</v>
      </c>
      <c r="L141" s="275">
        <f t="shared" si="26"/>
        <v>0</v>
      </c>
      <c r="M141" s="272" t="str">
        <f t="shared" si="27"/>
        <v>/</v>
      </c>
      <c r="N141" s="221">
        <f t="shared" si="30"/>
        <v>0</v>
      </c>
      <c r="O141" s="229">
        <f t="shared" si="28"/>
        <v>0</v>
      </c>
      <c r="P141" s="384">
        <f t="shared" si="31"/>
        <v>0</v>
      </c>
    </row>
    <row r="142" spans="2:26" ht="18" hidden="1" customHeight="1" x14ac:dyDescent="0.2">
      <c r="B142" s="118">
        <f t="shared" si="17"/>
        <v>0</v>
      </c>
      <c r="C142" s="110" t="str">
        <f t="shared" si="18"/>
        <v>D</v>
      </c>
      <c r="D142" s="231" t="b">
        <f t="shared" si="19"/>
        <v>0</v>
      </c>
      <c r="E142" s="113">
        <f t="shared" si="20"/>
        <v>0</v>
      </c>
      <c r="F142" s="114">
        <f t="shared" si="21"/>
        <v>0</v>
      </c>
      <c r="G142" s="114">
        <f t="shared" si="22"/>
        <v>0</v>
      </c>
      <c r="H142" s="114">
        <f t="shared" si="23"/>
        <v>0</v>
      </c>
      <c r="I142" s="114">
        <f t="shared" si="24"/>
        <v>0</v>
      </c>
      <c r="J142" s="388">
        <f t="shared" si="25"/>
        <v>0</v>
      </c>
      <c r="K142" s="223">
        <f t="shared" si="29"/>
        <v>0</v>
      </c>
      <c r="L142" s="275">
        <f t="shared" si="26"/>
        <v>0</v>
      </c>
      <c r="M142" s="272" t="str">
        <f t="shared" si="27"/>
        <v>/</v>
      </c>
      <c r="N142" s="221">
        <f t="shared" si="30"/>
        <v>0</v>
      </c>
      <c r="O142" s="229">
        <f t="shared" si="28"/>
        <v>0</v>
      </c>
      <c r="P142" s="384">
        <f t="shared" si="31"/>
        <v>0</v>
      </c>
    </row>
    <row r="143" spans="2:26" ht="18" hidden="1" customHeight="1" x14ac:dyDescent="0.2">
      <c r="B143" s="118">
        <f t="shared" si="17"/>
        <v>0</v>
      </c>
      <c r="C143" s="110" t="str">
        <f t="shared" si="18"/>
        <v>D</v>
      </c>
      <c r="D143" s="231" t="b">
        <f t="shared" si="19"/>
        <v>0</v>
      </c>
      <c r="E143" s="113">
        <f t="shared" si="20"/>
        <v>0</v>
      </c>
      <c r="F143" s="114">
        <f t="shared" si="21"/>
        <v>0</v>
      </c>
      <c r="G143" s="114">
        <f t="shared" si="22"/>
        <v>0</v>
      </c>
      <c r="H143" s="114">
        <f t="shared" si="23"/>
        <v>0</v>
      </c>
      <c r="I143" s="114">
        <f t="shared" si="24"/>
        <v>0</v>
      </c>
      <c r="J143" s="388">
        <f t="shared" si="25"/>
        <v>0</v>
      </c>
      <c r="K143" s="223">
        <f t="shared" si="29"/>
        <v>0</v>
      </c>
      <c r="L143" s="275">
        <f t="shared" si="26"/>
        <v>0</v>
      </c>
      <c r="M143" s="272" t="str">
        <f t="shared" si="27"/>
        <v>/</v>
      </c>
      <c r="N143" s="221">
        <f t="shared" si="30"/>
        <v>0</v>
      </c>
      <c r="O143" s="229">
        <f t="shared" si="28"/>
        <v>0</v>
      </c>
      <c r="P143" s="384">
        <f t="shared" si="31"/>
        <v>0</v>
      </c>
    </row>
    <row r="144" spans="2:26" ht="18" hidden="1" customHeight="1" x14ac:dyDescent="0.2">
      <c r="B144" s="118">
        <f t="shared" si="17"/>
        <v>0</v>
      </c>
      <c r="C144" s="110" t="str">
        <f t="shared" si="18"/>
        <v>D</v>
      </c>
      <c r="D144" s="231" t="b">
        <f t="shared" si="19"/>
        <v>0</v>
      </c>
      <c r="E144" s="113">
        <f t="shared" si="20"/>
        <v>0</v>
      </c>
      <c r="F144" s="114">
        <f t="shared" si="21"/>
        <v>0</v>
      </c>
      <c r="G144" s="114">
        <f t="shared" si="22"/>
        <v>0</v>
      </c>
      <c r="H144" s="114">
        <f t="shared" si="23"/>
        <v>0</v>
      </c>
      <c r="I144" s="114">
        <f t="shared" si="24"/>
        <v>0</v>
      </c>
      <c r="J144" s="388">
        <f t="shared" si="25"/>
        <v>0</v>
      </c>
      <c r="K144" s="223">
        <f t="shared" si="29"/>
        <v>0</v>
      </c>
      <c r="L144" s="275">
        <f t="shared" si="26"/>
        <v>0</v>
      </c>
      <c r="M144" s="272" t="str">
        <f t="shared" si="27"/>
        <v>/</v>
      </c>
      <c r="N144" s="221">
        <f t="shared" si="30"/>
        <v>0</v>
      </c>
      <c r="O144" s="229">
        <f t="shared" si="28"/>
        <v>0</v>
      </c>
      <c r="P144" s="384">
        <f t="shared" si="31"/>
        <v>0</v>
      </c>
    </row>
    <row r="145" spans="2:17" ht="18" hidden="1" customHeight="1" x14ac:dyDescent="0.2">
      <c r="B145" s="118">
        <f t="shared" si="17"/>
        <v>0</v>
      </c>
      <c r="C145" s="110" t="str">
        <f t="shared" si="18"/>
        <v>D</v>
      </c>
      <c r="D145" s="231" t="b">
        <f t="shared" si="19"/>
        <v>0</v>
      </c>
      <c r="E145" s="113">
        <f t="shared" si="20"/>
        <v>0</v>
      </c>
      <c r="F145" s="114">
        <f t="shared" si="21"/>
        <v>0</v>
      </c>
      <c r="G145" s="114">
        <f t="shared" si="22"/>
        <v>0</v>
      </c>
      <c r="H145" s="114">
        <f t="shared" si="23"/>
        <v>0</v>
      </c>
      <c r="I145" s="114">
        <f t="shared" si="24"/>
        <v>0</v>
      </c>
      <c r="J145" s="388">
        <f t="shared" si="25"/>
        <v>0</v>
      </c>
      <c r="K145" s="223">
        <f t="shared" si="29"/>
        <v>0</v>
      </c>
      <c r="L145" s="275">
        <f t="shared" si="26"/>
        <v>0</v>
      </c>
      <c r="M145" s="272" t="str">
        <f t="shared" si="27"/>
        <v>/</v>
      </c>
      <c r="N145" s="221">
        <f t="shared" si="30"/>
        <v>0</v>
      </c>
      <c r="O145" s="229">
        <f t="shared" si="28"/>
        <v>0</v>
      </c>
      <c r="P145" s="384">
        <f t="shared" si="31"/>
        <v>0</v>
      </c>
    </row>
    <row r="146" spans="2:17" ht="18" hidden="1" customHeight="1" x14ac:dyDescent="0.2">
      <c r="B146" s="118">
        <f t="shared" si="17"/>
        <v>0</v>
      </c>
      <c r="C146" s="110" t="str">
        <f t="shared" si="18"/>
        <v>D</v>
      </c>
      <c r="D146" s="231" t="b">
        <f t="shared" si="19"/>
        <v>0</v>
      </c>
      <c r="E146" s="113">
        <f t="shared" si="20"/>
        <v>0</v>
      </c>
      <c r="F146" s="114">
        <f t="shared" si="21"/>
        <v>0</v>
      </c>
      <c r="G146" s="114">
        <f t="shared" si="22"/>
        <v>0</v>
      </c>
      <c r="H146" s="114">
        <f t="shared" si="23"/>
        <v>0</v>
      </c>
      <c r="I146" s="114">
        <f t="shared" si="24"/>
        <v>0</v>
      </c>
      <c r="J146" s="388">
        <f t="shared" si="25"/>
        <v>0</v>
      </c>
      <c r="K146" s="223">
        <f t="shared" si="29"/>
        <v>0</v>
      </c>
      <c r="L146" s="275">
        <f t="shared" si="26"/>
        <v>0</v>
      </c>
      <c r="M146" s="272" t="str">
        <f t="shared" si="27"/>
        <v>/</v>
      </c>
      <c r="N146" s="221">
        <f t="shared" si="30"/>
        <v>0</v>
      </c>
      <c r="O146" s="229">
        <f t="shared" si="28"/>
        <v>0</v>
      </c>
      <c r="P146" s="384">
        <f t="shared" si="31"/>
        <v>0</v>
      </c>
    </row>
    <row r="147" spans="2:17" ht="18" hidden="1" customHeight="1" thickBot="1" x14ac:dyDescent="0.25">
      <c r="B147" s="119">
        <f t="shared" si="17"/>
        <v>0</v>
      </c>
      <c r="C147" s="111" t="str">
        <f t="shared" si="18"/>
        <v>D</v>
      </c>
      <c r="D147" s="231" t="b">
        <f t="shared" si="19"/>
        <v>0</v>
      </c>
      <c r="E147" s="115">
        <f t="shared" si="20"/>
        <v>0</v>
      </c>
      <c r="F147" s="116">
        <f t="shared" si="21"/>
        <v>0</v>
      </c>
      <c r="G147" s="116">
        <f t="shared" si="22"/>
        <v>0</v>
      </c>
      <c r="H147" s="116">
        <f t="shared" si="23"/>
        <v>0</v>
      </c>
      <c r="I147" s="116">
        <f t="shared" si="24"/>
        <v>0</v>
      </c>
      <c r="J147" s="389">
        <f t="shared" si="25"/>
        <v>0</v>
      </c>
      <c r="K147" s="223">
        <f t="shared" si="29"/>
        <v>0</v>
      </c>
      <c r="L147" s="275">
        <f t="shared" si="26"/>
        <v>0</v>
      </c>
      <c r="M147" s="272" t="str">
        <f t="shared" si="27"/>
        <v>/</v>
      </c>
      <c r="N147" s="221">
        <f t="shared" si="30"/>
        <v>0</v>
      </c>
      <c r="O147" s="229">
        <f t="shared" si="28"/>
        <v>0</v>
      </c>
      <c r="P147" s="384">
        <f t="shared" si="31"/>
        <v>0</v>
      </c>
    </row>
    <row r="148" spans="2:17" ht="18" hidden="1" customHeight="1" thickBot="1" x14ac:dyDescent="0.25">
      <c r="B148" s="120" t="s">
        <v>74</v>
      </c>
      <c r="C148" s="121"/>
      <c r="D148" s="232" t="b">
        <f>IF(COUNTIF(D138:D147,TRUE)&gt;0,TRUE,FALSE)</f>
        <v>0</v>
      </c>
      <c r="E148" s="122">
        <f t="shared" ref="E148:K148" si="32">SUM(E138:E147)</f>
        <v>0</v>
      </c>
      <c r="F148" s="22">
        <f t="shared" si="32"/>
        <v>0</v>
      </c>
      <c r="G148" s="22">
        <f t="shared" si="32"/>
        <v>0</v>
      </c>
      <c r="H148" s="22">
        <f t="shared" si="32"/>
        <v>0</v>
      </c>
      <c r="I148" s="22">
        <f t="shared" si="32"/>
        <v>0</v>
      </c>
      <c r="J148" s="22">
        <f t="shared" si="32"/>
        <v>0</v>
      </c>
      <c r="K148" s="224">
        <f t="shared" si="32"/>
        <v>0</v>
      </c>
      <c r="L148" s="276">
        <f>SUM(L138:L147)</f>
        <v>0</v>
      </c>
      <c r="M148" s="273">
        <f>SUM(M138:M147)</f>
        <v>0</v>
      </c>
      <c r="N148" s="225">
        <f t="shared" ref="N148" si="33">SUM(N138:N147)</f>
        <v>0</v>
      </c>
      <c r="O148" s="230">
        <f t="shared" ref="O148:P148" si="34">SUM(O138:O147)</f>
        <v>0</v>
      </c>
      <c r="P148" s="206">
        <f t="shared" si="34"/>
        <v>0</v>
      </c>
    </row>
    <row r="149" spans="2:17" ht="18" hidden="1" customHeight="1" x14ac:dyDescent="0.2"/>
    <row r="150" spans="2:17" ht="18" hidden="1" customHeight="1" x14ac:dyDescent="0.2">
      <c r="B150" s="331" t="s">
        <v>177</v>
      </c>
      <c r="C150" s="332"/>
      <c r="D150" s="331"/>
      <c r="E150" s="333"/>
      <c r="F150" s="332"/>
      <c r="G150" s="332"/>
      <c r="H150" s="332"/>
      <c r="I150" s="332"/>
      <c r="J150" s="332"/>
      <c r="K150" s="332"/>
      <c r="L150" s="332"/>
      <c r="M150" s="332"/>
      <c r="N150" s="332"/>
      <c r="O150" s="332"/>
      <c r="P150" s="332"/>
      <c r="Q150" s="332"/>
    </row>
  </sheetData>
  <sheetProtection algorithmName="SHA-512" hashValue="MRb7NAtpEZDYk6AvGBed4vLGnyyWBNUdVVBwqtAOjc9M/6X1winw24wlHAZ37erWXyFpKRElgeVby65a0G/5MQ==" saltValue="J9rjL8DcqJrGpj/2mXnjKA==" spinCount="100000" sheet="1" objects="1" scenarios="1"/>
  <protectedRanges>
    <protectedRange sqref="G53:N53" name="Plage5"/>
    <protectedRange sqref="B40:N49" name="Plage4"/>
    <protectedRange sqref="E17:I18" name="Plage1"/>
    <protectedRange sqref="E20:F21" name="Plage2"/>
    <protectedRange sqref="E23:F23" name="Plage3"/>
    <protectedRange sqref="F62" name="Plage6"/>
    <protectedRange sqref="J71:K80" name="Plage7"/>
  </protectedRanges>
  <mergeCells count="72">
    <mergeCell ref="E20:F20"/>
    <mergeCell ref="C49:E49"/>
    <mergeCell ref="B30:B31"/>
    <mergeCell ref="B59:B60"/>
    <mergeCell ref="B83:B84"/>
    <mergeCell ref="C46:E46"/>
    <mergeCell ref="C47:E47"/>
    <mergeCell ref="C40:E40"/>
    <mergeCell ref="C41:E41"/>
    <mergeCell ref="C42:E42"/>
    <mergeCell ref="C48:E48"/>
    <mergeCell ref="B64:B70"/>
    <mergeCell ref="D10:I10"/>
    <mergeCell ref="D9:I9"/>
    <mergeCell ref="E65:E69"/>
    <mergeCell ref="E23:F23"/>
    <mergeCell ref="C34:E39"/>
    <mergeCell ref="F34:F37"/>
    <mergeCell ref="B50:E50"/>
    <mergeCell ref="B33:B39"/>
    <mergeCell ref="G34:G37"/>
    <mergeCell ref="D65:D69"/>
    <mergeCell ref="F65:F69"/>
    <mergeCell ref="E17:I17"/>
    <mergeCell ref="D11:I11"/>
    <mergeCell ref="E18:I18"/>
    <mergeCell ref="C45:E45"/>
    <mergeCell ref="H34:I36"/>
    <mergeCell ref="L34:L37"/>
    <mergeCell ref="K34:K37"/>
    <mergeCell ref="J34:J37"/>
    <mergeCell ref="G65:I70"/>
    <mergeCell ref="Q34:Q38"/>
    <mergeCell ref="P34:P38"/>
    <mergeCell ref="M65:M69"/>
    <mergeCell ref="O34:O38"/>
    <mergeCell ref="P135:P136"/>
    <mergeCell ref="Q100:Q104"/>
    <mergeCell ref="N65:N69"/>
    <mergeCell ref="O65:O69"/>
    <mergeCell ref="D135:D137"/>
    <mergeCell ref="K123:M123"/>
    <mergeCell ref="M135:M136"/>
    <mergeCell ref="L135:L136"/>
    <mergeCell ref="N135:N136"/>
    <mergeCell ref="O135:O136"/>
    <mergeCell ref="B135:B137"/>
    <mergeCell ref="C135:C137"/>
    <mergeCell ref="B102:D103"/>
    <mergeCell ref="E102:E103"/>
    <mergeCell ref="K135:K136"/>
    <mergeCell ref="E111:E112"/>
    <mergeCell ref="B106:D107"/>
    <mergeCell ref="B108:D109"/>
    <mergeCell ref="E106:E107"/>
    <mergeCell ref="E108:E109"/>
    <mergeCell ref="B86:B87"/>
    <mergeCell ref="P21:Q21"/>
    <mergeCell ref="Q65:Q69"/>
    <mergeCell ref="C65:C69"/>
    <mergeCell ref="B111:D112"/>
    <mergeCell ref="N100:P104"/>
    <mergeCell ref="C43:E43"/>
    <mergeCell ref="C44:E44"/>
    <mergeCell ref="P23:Q23"/>
    <mergeCell ref="E21:F21"/>
    <mergeCell ref="M34:M37"/>
    <mergeCell ref="P65:P70"/>
    <mergeCell ref="N34:N37"/>
    <mergeCell ref="L65:L69"/>
    <mergeCell ref="J65:J69"/>
    <mergeCell ref="K65:K69"/>
  </mergeCells>
  <conditionalFormatting sqref="B71:Q80">
    <cfRule type="expression" dxfId="53" priority="34">
      <formula>IF($B40="",1,0)</formula>
    </cfRule>
  </conditionalFormatting>
  <conditionalFormatting sqref="C40:E49">
    <cfRule type="cellIs" dxfId="52" priority="93" operator="equal">
      <formula>$D$131</formula>
    </cfRule>
  </conditionalFormatting>
  <conditionalFormatting sqref="C40:Q49">
    <cfRule type="expression" dxfId="51" priority="25">
      <formula>IF($B40="",1,0)</formula>
    </cfRule>
  </conditionalFormatting>
  <conditionalFormatting sqref="C71:Q80">
    <cfRule type="cellIs" dxfId="50" priority="28" operator="equal">
      <formula>"À justifier**"</formula>
    </cfRule>
    <cfRule type="cellIs" dxfId="49" priority="29" operator="equal">
      <formula>"?"</formula>
    </cfRule>
  </conditionalFormatting>
  <conditionalFormatting sqref="C86:Q87">
    <cfRule type="expression" dxfId="48" priority="499">
      <formula>IF($D$148=FALSE,1,0)</formula>
    </cfRule>
  </conditionalFormatting>
  <conditionalFormatting sqref="E97">
    <cfRule type="cellIs" dxfId="47" priority="23" operator="equal">
      <formula>"?"</formula>
    </cfRule>
  </conditionalFormatting>
  <conditionalFormatting sqref="E101">
    <cfRule type="dataBar" priority="493">
      <dataBar>
        <cfvo type="min"/>
        <cfvo type="num" val="$E$113"/>
        <color rgb="FF7FC6A4"/>
      </dataBar>
      <extLst>
        <ext xmlns:x14="http://schemas.microsoft.com/office/spreadsheetml/2009/9/main" uri="{B025F937-C7B1-47D3-B67F-A62EFF666E3E}">
          <x14:id>{C38713A4-2935-4E92-91D5-D8F47C4937A2}</x14:id>
        </ext>
      </extLst>
    </cfRule>
  </conditionalFormatting>
  <conditionalFormatting sqref="E102">
    <cfRule type="dataBar" priority="494">
      <dataBar>
        <cfvo type="min"/>
        <cfvo type="num" val="$E$113"/>
        <color rgb="FFB1D6A9"/>
      </dataBar>
      <extLst>
        <ext xmlns:x14="http://schemas.microsoft.com/office/spreadsheetml/2009/9/main" uri="{B025F937-C7B1-47D3-B67F-A62EFF666E3E}">
          <x14:id>{1962134D-4592-499E-AF12-C720DECF1ECA}</x14:id>
        </ext>
      </extLst>
    </cfRule>
  </conditionalFormatting>
  <conditionalFormatting sqref="E104">
    <cfRule type="dataBar" priority="497">
      <dataBar>
        <cfvo type="min"/>
        <cfvo type="num" val="$E$113"/>
        <color rgb="FFFCBB79"/>
      </dataBar>
      <extLst>
        <ext xmlns:x14="http://schemas.microsoft.com/office/spreadsheetml/2009/9/main" uri="{B025F937-C7B1-47D3-B67F-A62EFF666E3E}">
          <x14:id>{F37DC068-4B53-4809-B9CF-C75D9A63731D}</x14:id>
        </ext>
      </extLst>
    </cfRule>
  </conditionalFormatting>
  <conditionalFormatting sqref="E105">
    <cfRule type="dataBar" priority="495">
      <dataBar>
        <cfvo type="min"/>
        <cfvo type="num" val="$E$113"/>
        <color rgb="FFFCBB79"/>
      </dataBar>
      <extLst>
        <ext xmlns:x14="http://schemas.microsoft.com/office/spreadsheetml/2009/9/main" uri="{B025F937-C7B1-47D3-B67F-A62EFF666E3E}">
          <x14:id>{769CC078-5694-494F-B2D6-3FAAB3D7C469}</x14:id>
        </ext>
      </extLst>
    </cfRule>
  </conditionalFormatting>
  <conditionalFormatting sqref="E106">
    <cfRule type="dataBar" priority="496">
      <dataBar>
        <cfvo type="min"/>
        <cfvo type="num" val="$E$113"/>
        <color rgb="FF8398A9"/>
      </dataBar>
      <extLst>
        <ext xmlns:x14="http://schemas.microsoft.com/office/spreadsheetml/2009/9/main" uri="{B025F937-C7B1-47D3-B67F-A62EFF666E3E}">
          <x14:id>{7593FC90-E2AA-4508-9EB7-63A6CDF061F4}</x14:id>
        </ext>
      </extLst>
    </cfRule>
  </conditionalFormatting>
  <conditionalFormatting sqref="E108">
    <cfRule type="dataBar" priority="498">
      <dataBar>
        <cfvo type="min"/>
        <cfvo type="num" val="$E$113"/>
        <color theme="0" tint="-0.249977111117893"/>
      </dataBar>
      <extLst>
        <ext xmlns:x14="http://schemas.microsoft.com/office/spreadsheetml/2009/9/main" uri="{B025F937-C7B1-47D3-B67F-A62EFF666E3E}">
          <x14:id>{975E5320-177E-4698-83D8-18AB1286FA38}</x14:id>
        </ext>
      </extLst>
    </cfRule>
  </conditionalFormatting>
  <conditionalFormatting sqref="E111:E112">
    <cfRule type="dataBar" priority="35">
      <dataBar>
        <cfvo type="min"/>
        <cfvo type="num" val="$E$113"/>
        <color theme="0" tint="-0.249977111117893"/>
      </dataBar>
      <extLst>
        <ext xmlns:x14="http://schemas.microsoft.com/office/spreadsheetml/2009/9/main" uri="{B025F937-C7B1-47D3-B67F-A62EFF666E3E}">
          <x14:id>{BF7E221E-8A7F-4175-AB60-71114F50AE47}</x14:id>
        </ext>
      </extLst>
    </cfRule>
  </conditionalFormatting>
  <conditionalFormatting sqref="F40:F49">
    <cfRule type="expression" dxfId="46" priority="509">
      <formula>IF(OR($C40=$D$130,$C40=$D$131),1,0)</formula>
    </cfRule>
  </conditionalFormatting>
  <conditionalFormatting sqref="G71:I80">
    <cfRule type="cellIs" dxfId="45" priority="92" operator="equal">
      <formula>$F$131</formula>
    </cfRule>
  </conditionalFormatting>
  <conditionalFormatting sqref="J71:J80">
    <cfRule type="expression" dxfId="44" priority="511">
      <formula>IF(OR($G71=$F$123,$G71=$F$126),1,0)</formula>
    </cfRule>
  </conditionalFormatting>
  <conditionalFormatting sqref="J104">
    <cfRule type="expression" dxfId="43" priority="5">
      <formula>IF($K$104&gt;0,1,0)</formula>
    </cfRule>
  </conditionalFormatting>
  <conditionalFormatting sqref="K71:K80">
    <cfRule type="expression" dxfId="42" priority="510">
      <formula>IF($G71=$F$124,1,0)</formula>
    </cfRule>
  </conditionalFormatting>
  <conditionalFormatting sqref="L97">
    <cfRule type="cellIs" dxfId="41" priority="3" operator="equal">
      <formula>"?"</formula>
    </cfRule>
  </conditionalFormatting>
  <conditionalFormatting sqref="L102:L104 L106:L108">
    <cfRule type="cellIs" dxfId="40" priority="2" operator="equal">
      <formula>"?"</formula>
    </cfRule>
  </conditionalFormatting>
  <conditionalFormatting sqref="P71:P80">
    <cfRule type="cellIs" dxfId="39" priority="142" operator="lessThanOrEqual">
      <formula>0.6</formula>
    </cfRule>
    <cfRule type="cellIs" dxfId="38" priority="141" operator="between">
      <formula>0.6</formula>
      <formula>0.8</formula>
    </cfRule>
    <cfRule type="cellIs" dxfId="37" priority="140" operator="between">
      <formula>0.8</formula>
      <formula>1</formula>
    </cfRule>
    <cfRule type="cellIs" dxfId="36" priority="139" operator="equal">
      <formula>1</formula>
    </cfRule>
  </conditionalFormatting>
  <conditionalFormatting sqref="Q100">
    <cfRule type="cellIs" dxfId="35" priority="133" operator="between">
      <formula>0.6</formula>
      <formula>0.8</formula>
    </cfRule>
    <cfRule type="cellIs" dxfId="34" priority="132" operator="greaterThanOrEqual">
      <formula>1</formula>
    </cfRule>
    <cfRule type="cellIs" dxfId="33" priority="132" operator="between">
      <formula>0.8</formula>
      <formula>1</formula>
    </cfRule>
    <cfRule type="cellIs" dxfId="32" priority="134" operator="lessThanOrEqual">
      <formula>0.6</formula>
    </cfRule>
  </conditionalFormatting>
  <conditionalFormatting sqref="Q100:Q104">
    <cfRule type="cellIs" dxfId="31" priority="24" operator="equal">
      <formula>"?"</formula>
    </cfRule>
  </conditionalFormatting>
  <dataValidations disablePrompts="1" count="4">
    <dataValidation type="list" allowBlank="1" showInputMessage="1" showErrorMessage="1" sqref="C40:C49" xr:uid="{78E44F64-C5BF-4197-B274-C4D06175DBAD}">
      <formula1>$D$123:$D$131</formula1>
    </dataValidation>
    <dataValidation type="list" allowBlank="1" showInputMessage="1" showErrorMessage="1" sqref="E21:F21" xr:uid="{0B5C240A-36D8-4569-A180-88038A4ADC60}">
      <formula1>$O$129:$O$131</formula1>
    </dataValidation>
    <dataValidation type="list" allowBlank="1" showInputMessage="1" showErrorMessage="1" sqref="E20:F20" xr:uid="{23E24E92-08D5-40D7-9F93-F827947300CB}">
      <formula1>$O$124:$O$126</formula1>
    </dataValidation>
    <dataValidation type="list" allowBlank="1" showInputMessage="1" showErrorMessage="1" sqref="K71:K80" xr:uid="{89DC4D47-7DED-47A9-83CB-7C0D65DE6D6F}">
      <formula1>$G$90:$M$90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38713A4-2935-4E92-91D5-D8F47C4937A2}">
            <x14:dataBar minLength="0" maxLength="100" gradient="0">
              <x14:cfvo type="autoMin"/>
              <x14:cfvo type="num">
                <xm:f>$E$113</xm:f>
              </x14:cfvo>
              <x14:negativeFillColor rgb="FFFF0000"/>
              <x14:axisColor rgb="FF000000"/>
            </x14:dataBar>
          </x14:cfRule>
          <xm:sqref>E101</xm:sqref>
        </x14:conditionalFormatting>
        <x14:conditionalFormatting xmlns:xm="http://schemas.microsoft.com/office/excel/2006/main">
          <x14:cfRule type="dataBar" id="{1962134D-4592-499E-AF12-C720DECF1ECA}">
            <x14:dataBar minLength="0" maxLength="100" gradient="0">
              <x14:cfvo type="autoMin"/>
              <x14:cfvo type="num">
                <xm:f>$E$113</xm:f>
              </x14:cfvo>
              <x14:negativeFillColor rgb="FFFF0000"/>
              <x14:axisColor rgb="FF000000"/>
            </x14:dataBar>
          </x14:cfRule>
          <xm:sqref>E102</xm:sqref>
        </x14:conditionalFormatting>
        <x14:conditionalFormatting xmlns:xm="http://schemas.microsoft.com/office/excel/2006/main">
          <x14:cfRule type="dataBar" id="{F37DC068-4B53-4809-B9CF-C75D9A63731D}">
            <x14:dataBar minLength="0" maxLength="100" gradient="0">
              <x14:cfvo type="autoMin"/>
              <x14:cfvo type="num">
                <xm:f>$E$113</xm:f>
              </x14:cfvo>
              <x14:negativeFillColor rgb="FFFF0000"/>
              <x14:axisColor rgb="FF000000"/>
            </x14:dataBar>
          </x14:cfRule>
          <xm:sqref>E104</xm:sqref>
        </x14:conditionalFormatting>
        <x14:conditionalFormatting xmlns:xm="http://schemas.microsoft.com/office/excel/2006/main">
          <x14:cfRule type="dataBar" id="{769CC078-5694-494F-B2D6-3FAAB3D7C469}">
            <x14:dataBar minLength="0" maxLength="100" gradient="0">
              <x14:cfvo type="autoMin"/>
              <x14:cfvo type="num">
                <xm:f>$E$113</xm:f>
              </x14:cfvo>
              <x14:negativeFillColor rgb="FFFF0000"/>
              <x14:axisColor rgb="FF000000"/>
            </x14:dataBar>
          </x14:cfRule>
          <xm:sqref>E105</xm:sqref>
        </x14:conditionalFormatting>
        <x14:conditionalFormatting xmlns:xm="http://schemas.microsoft.com/office/excel/2006/main">
          <x14:cfRule type="dataBar" id="{7593FC90-E2AA-4508-9EB7-63A6CDF061F4}">
            <x14:dataBar minLength="0" maxLength="100" gradient="0">
              <x14:cfvo type="autoMin"/>
              <x14:cfvo type="num">
                <xm:f>$E$113</xm:f>
              </x14:cfvo>
              <x14:negativeFillColor rgb="FFFF0000"/>
              <x14:axisColor rgb="FF000000"/>
            </x14:dataBar>
          </x14:cfRule>
          <xm:sqref>E106</xm:sqref>
        </x14:conditionalFormatting>
        <x14:conditionalFormatting xmlns:xm="http://schemas.microsoft.com/office/excel/2006/main">
          <x14:cfRule type="dataBar" id="{975E5320-177E-4698-83D8-18AB1286FA38}">
            <x14:dataBar minLength="0" maxLength="100" gradient="0">
              <x14:cfvo type="autoMin"/>
              <x14:cfvo type="num">
                <xm:f>$E$113</xm:f>
              </x14:cfvo>
              <x14:negativeFillColor rgb="FFFF0000"/>
              <x14:axisColor rgb="FF000000"/>
            </x14:dataBar>
          </x14:cfRule>
          <xm:sqref>E108</xm:sqref>
        </x14:conditionalFormatting>
        <x14:conditionalFormatting xmlns:xm="http://schemas.microsoft.com/office/excel/2006/main">
          <x14:cfRule type="dataBar" id="{BF7E221E-8A7F-4175-AB60-71114F50AE47}">
            <x14:dataBar minLength="0" maxLength="100" gradient="0">
              <x14:cfvo type="autoMin"/>
              <x14:cfvo type="num">
                <xm:f>$E$113</xm:f>
              </x14:cfvo>
              <x14:negativeFillColor rgb="FFFF0000"/>
              <x14:axisColor rgb="FF000000"/>
            </x14:dataBar>
          </x14:cfRule>
          <xm:sqref>E111:E112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FDE79-C847-40C7-8DE0-D49FE985EEED}">
  <dimension ref="B1:W136"/>
  <sheetViews>
    <sheetView showGridLines="0" tabSelected="1" zoomScaleNormal="100" workbookViewId="0">
      <selection activeCell="D11" sqref="D11:I11"/>
    </sheetView>
  </sheetViews>
  <sheetFormatPr baseColWidth="10" defaultColWidth="11" defaultRowHeight="18" customHeight="1" x14ac:dyDescent="0.2"/>
  <cols>
    <col min="1" max="1" width="3" style="1" customWidth="1"/>
    <col min="2" max="17" width="11.140625" style="1" customWidth="1"/>
    <col min="18" max="18" width="11" style="1" customWidth="1"/>
    <col min="19" max="16384" width="11" style="1"/>
  </cols>
  <sheetData>
    <row r="1" spans="2:17" ht="7.5" customHeight="1" x14ac:dyDescent="0.2"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</row>
    <row r="2" spans="2:17" ht="22.5" customHeight="1" x14ac:dyDescent="0.2"/>
    <row r="3" spans="2:17" ht="22.5" customHeight="1" x14ac:dyDescent="0.2">
      <c r="D3" s="21" t="s">
        <v>64</v>
      </c>
      <c r="E3" s="2"/>
      <c r="F3" s="2"/>
      <c r="G3" s="2"/>
      <c r="H3" s="2"/>
      <c r="I3" s="2"/>
      <c r="J3" s="2"/>
    </row>
    <row r="4" spans="2:17" ht="22.5" customHeight="1" x14ac:dyDescent="0.2">
      <c r="D4" s="21" t="s">
        <v>62</v>
      </c>
      <c r="E4" s="5"/>
      <c r="F4" s="5"/>
    </row>
    <row r="5" spans="2:17" ht="22.5" customHeight="1" x14ac:dyDescent="0.2">
      <c r="D5" s="32" t="s">
        <v>166</v>
      </c>
    </row>
    <row r="6" spans="2:17" ht="18" customHeight="1" x14ac:dyDescent="0.2">
      <c r="D6" s="4"/>
      <c r="E6" s="4"/>
      <c r="F6" s="4"/>
      <c r="I6"/>
    </row>
    <row r="7" spans="2:17" ht="18" customHeight="1" x14ac:dyDescent="0.2">
      <c r="D7" s="4"/>
    </row>
    <row r="8" spans="2:17" ht="18" customHeight="1" thickBot="1" x14ac:dyDescent="0.25">
      <c r="D8" s="165" t="s">
        <v>161</v>
      </c>
    </row>
    <row r="9" spans="2:17" ht="18" customHeight="1" x14ac:dyDescent="0.2">
      <c r="D9" s="550" t="s">
        <v>61</v>
      </c>
      <c r="E9" s="551"/>
      <c r="F9" s="551"/>
      <c r="G9" s="551"/>
      <c r="H9" s="551"/>
      <c r="I9" s="552"/>
    </row>
    <row r="10" spans="2:17" ht="18" customHeight="1" x14ac:dyDescent="0.2">
      <c r="D10" s="547" t="s">
        <v>46</v>
      </c>
      <c r="E10" s="548"/>
      <c r="F10" s="548"/>
      <c r="G10" s="548"/>
      <c r="H10" s="548"/>
      <c r="I10" s="549"/>
    </row>
    <row r="11" spans="2:17" ht="18" customHeight="1" thickBot="1" x14ac:dyDescent="0.25">
      <c r="D11" s="573" t="s">
        <v>47</v>
      </c>
      <c r="E11" s="574"/>
      <c r="F11" s="574"/>
      <c r="G11" s="574"/>
      <c r="H11" s="574"/>
      <c r="I11" s="575"/>
    </row>
    <row r="15" spans="2:17" ht="18" customHeight="1" x14ac:dyDescent="0.2">
      <c r="B15" s="244" t="s">
        <v>93</v>
      </c>
      <c r="C15" s="136"/>
      <c r="D15" s="136"/>
      <c r="E15" s="136"/>
      <c r="F15" s="136"/>
      <c r="G15" s="136"/>
      <c r="H15" s="136"/>
      <c r="I15" s="136"/>
    </row>
    <row r="16" spans="2:17" ht="18" customHeight="1" thickBot="1" x14ac:dyDescent="0.25">
      <c r="E16" s="88"/>
      <c r="F16" s="88"/>
      <c r="G16" s="88"/>
      <c r="H16" s="88"/>
      <c r="I16" s="88"/>
    </row>
    <row r="17" spans="2:17" ht="18" customHeight="1" x14ac:dyDescent="0.2">
      <c r="B17" s="84" t="s">
        <v>76</v>
      </c>
      <c r="C17" s="85"/>
      <c r="D17" s="85"/>
      <c r="E17" s="570"/>
      <c r="F17" s="571"/>
      <c r="G17" s="571"/>
      <c r="H17" s="571"/>
      <c r="I17" s="572"/>
    </row>
    <row r="18" spans="2:17" ht="18" customHeight="1" thickBot="1" x14ac:dyDescent="0.25">
      <c r="B18" s="134" t="s">
        <v>96</v>
      </c>
      <c r="C18" s="135"/>
      <c r="D18" s="135"/>
      <c r="E18" s="481"/>
      <c r="F18" s="576"/>
      <c r="G18" s="576"/>
      <c r="H18" s="576"/>
      <c r="I18" s="482"/>
    </row>
    <row r="19" spans="2:17" ht="18" customHeight="1" thickBot="1" x14ac:dyDescent="0.25">
      <c r="B19" s="35"/>
      <c r="C19" s="35"/>
      <c r="D19" s="35"/>
      <c r="E19" s="35"/>
      <c r="F19" s="35"/>
      <c r="G19" s="35"/>
      <c r="H19" s="35"/>
      <c r="I19" s="35"/>
    </row>
    <row r="20" spans="2:17" ht="18" customHeight="1" thickBot="1" x14ac:dyDescent="0.25">
      <c r="B20" s="156" t="s">
        <v>13</v>
      </c>
      <c r="C20" s="245"/>
      <c r="D20" s="246"/>
      <c r="E20" s="570"/>
      <c r="F20" s="572"/>
      <c r="L20" s="117" t="s">
        <v>145</v>
      </c>
      <c r="P20" s="117" t="s">
        <v>36</v>
      </c>
      <c r="Q20" s="338"/>
    </row>
    <row r="21" spans="2:17" ht="18" customHeight="1" thickBot="1" x14ac:dyDescent="0.25">
      <c r="B21" s="247" t="s">
        <v>52</v>
      </c>
      <c r="C21" s="86"/>
      <c r="D21" s="87"/>
      <c r="E21" s="481"/>
      <c r="F21" s="482"/>
      <c r="L21" s="8" t="s">
        <v>17</v>
      </c>
      <c r="M21" s="337" t="s">
        <v>146</v>
      </c>
      <c r="P21" s="459" t="s">
        <v>29</v>
      </c>
      <c r="Q21" s="460"/>
    </row>
    <row r="22" spans="2:17" ht="18" customHeight="1" thickBot="1" x14ac:dyDescent="0.25">
      <c r="L22" s="9" t="s">
        <v>18</v>
      </c>
      <c r="M22" s="337" t="s">
        <v>147</v>
      </c>
    </row>
    <row r="23" spans="2:17" ht="18" customHeight="1" thickBot="1" x14ac:dyDescent="0.25">
      <c r="B23" s="94" t="s">
        <v>39</v>
      </c>
      <c r="C23" s="133"/>
      <c r="D23" s="133"/>
      <c r="E23" s="553"/>
      <c r="F23" s="554"/>
      <c r="L23" s="10" t="s">
        <v>19</v>
      </c>
      <c r="M23" s="337" t="s">
        <v>148</v>
      </c>
      <c r="P23" s="479" t="s">
        <v>30</v>
      </c>
      <c r="Q23" s="480"/>
    </row>
    <row r="24" spans="2:17" ht="18" customHeight="1" x14ac:dyDescent="0.2">
      <c r="B24" s="166" t="s">
        <v>160</v>
      </c>
      <c r="J24" s="68"/>
    </row>
    <row r="25" spans="2:17" s="6" customFormat="1" ht="18" customHeight="1" x14ac:dyDescent="0.2">
      <c r="B25" s="1"/>
      <c r="C25" s="1"/>
      <c r="D25" s="1"/>
      <c r="E25" s="1"/>
      <c r="F25" s="1"/>
      <c r="G25" s="1"/>
      <c r="H25" s="1"/>
      <c r="I25" s="1"/>
      <c r="J25" s="1"/>
      <c r="N25"/>
      <c r="O25"/>
      <c r="P25"/>
      <c r="Q25"/>
    </row>
    <row r="26" spans="2:17" s="6" customFormat="1" ht="18" customHeight="1" x14ac:dyDescent="0.2">
      <c r="B26" s="1"/>
      <c r="C26" s="1"/>
      <c r="D26" s="1"/>
      <c r="E26" s="1"/>
      <c r="F26" s="1"/>
      <c r="G26" s="1"/>
      <c r="H26" s="1"/>
      <c r="I26" s="1"/>
      <c r="J26" s="1"/>
    </row>
    <row r="27" spans="2:17" s="6" customFormat="1" ht="18" customHeight="1" x14ac:dyDescent="0.2">
      <c r="B27" s="31"/>
      <c r="J27" s="1"/>
    </row>
    <row r="28" spans="2:17" ht="18" customHeight="1" x14ac:dyDescent="0.2">
      <c r="B28" s="244" t="s">
        <v>120</v>
      </c>
      <c r="C28" s="137"/>
      <c r="D28" s="137"/>
      <c r="E28" s="137"/>
      <c r="F28" s="137"/>
      <c r="G28" s="137"/>
      <c r="H28" s="137"/>
      <c r="I28" s="137"/>
      <c r="J28" s="137"/>
      <c r="K28" s="137"/>
      <c r="L28" s="137"/>
      <c r="M28" s="137"/>
      <c r="N28" s="137"/>
      <c r="O28" s="137"/>
      <c r="P28" s="137"/>
      <c r="Q28" s="137"/>
    </row>
    <row r="29" spans="2:17" ht="7.5" customHeight="1" x14ac:dyDescent="0.2">
      <c r="B29" s="164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spans="2:17" s="6" customFormat="1" ht="18" customHeight="1" x14ac:dyDescent="0.2">
      <c r="B30" s="577" t="s">
        <v>154</v>
      </c>
      <c r="C30" s="363" t="s">
        <v>155</v>
      </c>
      <c r="D30" s="161"/>
      <c r="E30" s="161"/>
      <c r="F30" s="161"/>
      <c r="G30" s="161"/>
      <c r="H30" s="161"/>
      <c r="I30" s="161"/>
      <c r="J30" s="162"/>
      <c r="K30" s="162"/>
      <c r="L30" s="162"/>
      <c r="M30" s="162"/>
      <c r="N30" s="161"/>
      <c r="O30" s="161"/>
      <c r="P30" s="161"/>
      <c r="Q30" s="161"/>
    </row>
    <row r="31" spans="2:17" ht="18" customHeight="1" x14ac:dyDescent="0.2">
      <c r="B31" s="577"/>
      <c r="C31" s="457" t="s">
        <v>226</v>
      </c>
      <c r="D31" s="162"/>
      <c r="E31" s="162"/>
      <c r="F31" s="162"/>
      <c r="G31" s="162"/>
      <c r="H31" s="162"/>
      <c r="I31" s="162"/>
      <c r="J31" s="162"/>
      <c r="K31" s="162"/>
      <c r="L31" s="162"/>
      <c r="M31" s="162"/>
      <c r="N31" s="162"/>
      <c r="O31" s="162"/>
      <c r="P31" s="162"/>
      <c r="Q31" s="163"/>
    </row>
    <row r="32" spans="2:17" ht="27" customHeight="1" thickBot="1" x14ac:dyDescent="0.25">
      <c r="Q32" s="3"/>
    </row>
    <row r="33" spans="2:17" ht="18" customHeight="1" x14ac:dyDescent="0.2">
      <c r="B33" s="565" t="s">
        <v>37</v>
      </c>
      <c r="C33" s="264" t="s">
        <v>75</v>
      </c>
      <c r="D33" s="265"/>
      <c r="E33" s="265"/>
      <c r="F33" s="266"/>
      <c r="G33" s="178" t="s">
        <v>59</v>
      </c>
      <c r="H33" s="179"/>
      <c r="I33" s="179"/>
      <c r="J33" s="179"/>
      <c r="K33" s="179"/>
      <c r="L33" s="179"/>
      <c r="M33" s="179"/>
      <c r="N33" s="180"/>
      <c r="O33" s="311"/>
      <c r="P33" s="312" t="s">
        <v>100</v>
      </c>
      <c r="Q33" s="313"/>
    </row>
    <row r="34" spans="2:17" ht="18" customHeight="1" x14ac:dyDescent="0.2">
      <c r="B34" s="566"/>
      <c r="C34" s="555" t="s">
        <v>88</v>
      </c>
      <c r="D34" s="556"/>
      <c r="E34" s="557"/>
      <c r="F34" s="561" t="s">
        <v>89</v>
      </c>
      <c r="G34" s="462" t="s">
        <v>48</v>
      </c>
      <c r="H34" s="483" t="s">
        <v>123</v>
      </c>
      <c r="I34" s="483"/>
      <c r="J34" s="483" t="s">
        <v>57</v>
      </c>
      <c r="K34" s="483" t="s">
        <v>167</v>
      </c>
      <c r="L34" s="483" t="s">
        <v>15</v>
      </c>
      <c r="M34" s="483" t="s">
        <v>58</v>
      </c>
      <c r="N34" s="487" t="s">
        <v>2</v>
      </c>
      <c r="O34" s="545" t="s">
        <v>104</v>
      </c>
      <c r="P34" s="462" t="s">
        <v>97</v>
      </c>
      <c r="Q34" s="542" t="s">
        <v>103</v>
      </c>
    </row>
    <row r="35" spans="2:17" ht="18" customHeight="1" x14ac:dyDescent="0.2">
      <c r="B35" s="566"/>
      <c r="C35" s="555"/>
      <c r="D35" s="556"/>
      <c r="E35" s="557"/>
      <c r="F35" s="561"/>
      <c r="G35" s="463"/>
      <c r="H35" s="484"/>
      <c r="I35" s="484"/>
      <c r="J35" s="484"/>
      <c r="K35" s="484"/>
      <c r="L35" s="484"/>
      <c r="M35" s="484"/>
      <c r="N35" s="488"/>
      <c r="O35" s="545"/>
      <c r="P35" s="463"/>
      <c r="Q35" s="542"/>
    </row>
    <row r="36" spans="2:17" ht="18" customHeight="1" x14ac:dyDescent="0.2">
      <c r="B36" s="566"/>
      <c r="C36" s="555"/>
      <c r="D36" s="556"/>
      <c r="E36" s="557"/>
      <c r="F36" s="561"/>
      <c r="G36" s="463"/>
      <c r="H36" s="484"/>
      <c r="I36" s="484"/>
      <c r="J36" s="484"/>
      <c r="K36" s="484"/>
      <c r="L36" s="484"/>
      <c r="M36" s="484"/>
      <c r="N36" s="488"/>
      <c r="O36" s="545"/>
      <c r="P36" s="463"/>
      <c r="Q36" s="542"/>
    </row>
    <row r="37" spans="2:17" ht="18" customHeight="1" x14ac:dyDescent="0.2">
      <c r="B37" s="566"/>
      <c r="C37" s="555"/>
      <c r="D37" s="556"/>
      <c r="E37" s="557"/>
      <c r="F37" s="562"/>
      <c r="G37" s="463"/>
      <c r="H37" s="69" t="s">
        <v>55</v>
      </c>
      <c r="I37" s="69" t="s">
        <v>56</v>
      </c>
      <c r="J37" s="484"/>
      <c r="K37" s="484"/>
      <c r="L37" s="484"/>
      <c r="M37" s="484"/>
      <c r="N37" s="488"/>
      <c r="O37" s="545"/>
      <c r="P37" s="463"/>
      <c r="Q37" s="542"/>
    </row>
    <row r="38" spans="2:17" ht="6" customHeight="1" x14ac:dyDescent="0.2">
      <c r="B38" s="566"/>
      <c r="C38" s="555"/>
      <c r="D38" s="556"/>
      <c r="E38" s="557"/>
      <c r="F38" s="267"/>
      <c r="G38" s="83"/>
      <c r="H38" s="12"/>
      <c r="I38" s="12"/>
      <c r="J38" s="13"/>
      <c r="K38" s="13"/>
      <c r="L38" s="14"/>
      <c r="M38" s="14"/>
      <c r="N38" s="70"/>
      <c r="O38" s="546"/>
      <c r="P38" s="463"/>
      <c r="Q38" s="543"/>
    </row>
    <row r="39" spans="2:17" ht="18" customHeight="1" thickBot="1" x14ac:dyDescent="0.25">
      <c r="B39" s="567"/>
      <c r="C39" s="558"/>
      <c r="D39" s="559"/>
      <c r="E39" s="560"/>
      <c r="F39" s="27" t="s">
        <v>80</v>
      </c>
      <c r="G39" s="20" t="s">
        <v>3</v>
      </c>
      <c r="H39" s="19" t="s">
        <v>3</v>
      </c>
      <c r="I39" s="19" t="s">
        <v>3</v>
      </c>
      <c r="J39" s="19" t="s">
        <v>3</v>
      </c>
      <c r="K39" s="19" t="s">
        <v>3</v>
      </c>
      <c r="L39" s="19" t="s">
        <v>3</v>
      </c>
      <c r="M39" s="19" t="s">
        <v>3</v>
      </c>
      <c r="N39" s="71" t="s">
        <v>3</v>
      </c>
      <c r="O39" s="18" t="s">
        <v>125</v>
      </c>
      <c r="P39" s="20" t="s">
        <v>81</v>
      </c>
      <c r="Q39" s="175" t="s">
        <v>122</v>
      </c>
    </row>
    <row r="40" spans="2:17" ht="18" customHeight="1" x14ac:dyDescent="0.2">
      <c r="B40" s="76"/>
      <c r="C40" s="477"/>
      <c r="D40" s="478"/>
      <c r="E40" s="478"/>
      <c r="F40" s="28"/>
      <c r="G40" s="80"/>
      <c r="H40" s="17"/>
      <c r="I40" s="17"/>
      <c r="J40" s="17"/>
      <c r="K40" s="17"/>
      <c r="L40" s="17"/>
      <c r="M40" s="17"/>
      <c r="N40" s="72"/>
      <c r="O40" s="259" t="str">
        <f t="shared" ref="O40:O49" si="0">IF(C40="","/",IF(SUM($F40:$N40)=0,"/",SUM($G40:$N40)+IF(VLOOKUP($C40,$D$125:$E$134,2,FALSE)="Oui",$F40,0)))</f>
        <v>/</v>
      </c>
      <c r="P40" s="260" t="str">
        <f t="shared" ref="P40:P49" si="1">IF(OR(SUM($F40:$N40)=0,$O40="/"),"/",SUMPRODUCT($G40:$N40,$G$53:$N$53)+IF(VLOOKUP($C40,$D$125:$E$134,2,FALSE)="Oui",$F40,0))</f>
        <v>/</v>
      </c>
      <c r="Q40" s="263" t="str">
        <f>IF(OR($O40="/",$O40=0),"/",$P40/$O40)</f>
        <v>/</v>
      </c>
    </row>
    <row r="41" spans="2:17" ht="18" customHeight="1" x14ac:dyDescent="0.2">
      <c r="B41" s="77"/>
      <c r="C41" s="477"/>
      <c r="D41" s="478"/>
      <c r="E41" s="478"/>
      <c r="F41" s="29"/>
      <c r="G41" s="81"/>
      <c r="H41" s="17"/>
      <c r="I41" s="15"/>
      <c r="J41" s="15"/>
      <c r="K41" s="15"/>
      <c r="L41" s="15"/>
      <c r="M41" s="15"/>
      <c r="N41" s="73"/>
      <c r="O41" s="249" t="str">
        <f t="shared" si="0"/>
        <v>/</v>
      </c>
      <c r="P41" s="261" t="str">
        <f t="shared" si="1"/>
        <v>/</v>
      </c>
      <c r="Q41" s="269" t="str">
        <f t="shared" ref="Q41:Q49" si="2">IF(OR($O41="/",$O41=0),"/",$P41/$O41)</f>
        <v>/</v>
      </c>
    </row>
    <row r="42" spans="2:17" ht="18" customHeight="1" x14ac:dyDescent="0.2">
      <c r="B42" s="77"/>
      <c r="C42" s="477"/>
      <c r="D42" s="478"/>
      <c r="E42" s="478"/>
      <c r="F42" s="29"/>
      <c r="G42" s="81"/>
      <c r="H42" s="17"/>
      <c r="I42" s="15"/>
      <c r="J42" s="15"/>
      <c r="K42" s="15"/>
      <c r="L42" s="15"/>
      <c r="M42" s="15"/>
      <c r="N42" s="73"/>
      <c r="O42" s="249" t="str">
        <f t="shared" si="0"/>
        <v>/</v>
      </c>
      <c r="P42" s="261" t="str">
        <f t="shared" si="1"/>
        <v>/</v>
      </c>
      <c r="Q42" s="269" t="str">
        <f t="shared" si="2"/>
        <v>/</v>
      </c>
    </row>
    <row r="43" spans="2:17" ht="18" customHeight="1" x14ac:dyDescent="0.2">
      <c r="B43" s="77"/>
      <c r="C43" s="477"/>
      <c r="D43" s="478"/>
      <c r="E43" s="478"/>
      <c r="F43" s="29"/>
      <c r="G43" s="81"/>
      <c r="H43" s="15"/>
      <c r="I43" s="15"/>
      <c r="J43" s="15"/>
      <c r="K43" s="15"/>
      <c r="L43" s="15"/>
      <c r="M43" s="15"/>
      <c r="N43" s="73"/>
      <c r="O43" s="249" t="str">
        <f t="shared" si="0"/>
        <v>/</v>
      </c>
      <c r="P43" s="261" t="str">
        <f t="shared" si="1"/>
        <v>/</v>
      </c>
      <c r="Q43" s="269" t="str">
        <f t="shared" si="2"/>
        <v>/</v>
      </c>
    </row>
    <row r="44" spans="2:17" ht="18" customHeight="1" x14ac:dyDescent="0.2">
      <c r="B44" s="77"/>
      <c r="C44" s="477"/>
      <c r="D44" s="478"/>
      <c r="E44" s="478"/>
      <c r="F44" s="29"/>
      <c r="G44" s="81"/>
      <c r="H44" s="15"/>
      <c r="I44" s="15"/>
      <c r="J44" s="15"/>
      <c r="K44" s="15"/>
      <c r="L44" s="15"/>
      <c r="M44" s="15"/>
      <c r="N44" s="73"/>
      <c r="O44" s="249" t="str">
        <f t="shared" si="0"/>
        <v>/</v>
      </c>
      <c r="P44" s="261" t="str">
        <f t="shared" si="1"/>
        <v>/</v>
      </c>
      <c r="Q44" s="269" t="str">
        <f t="shared" si="2"/>
        <v>/</v>
      </c>
    </row>
    <row r="45" spans="2:17" ht="18" customHeight="1" x14ac:dyDescent="0.2">
      <c r="B45" s="77"/>
      <c r="C45" s="477"/>
      <c r="D45" s="478"/>
      <c r="E45" s="478"/>
      <c r="F45" s="29"/>
      <c r="G45" s="81"/>
      <c r="H45" s="15"/>
      <c r="I45" s="15"/>
      <c r="J45" s="15"/>
      <c r="K45" s="15"/>
      <c r="L45" s="15"/>
      <c r="M45" s="15"/>
      <c r="N45" s="73"/>
      <c r="O45" s="249" t="str">
        <f t="shared" si="0"/>
        <v>/</v>
      </c>
      <c r="P45" s="261" t="str">
        <f t="shared" si="1"/>
        <v>/</v>
      </c>
      <c r="Q45" s="269" t="str">
        <f t="shared" si="2"/>
        <v>/</v>
      </c>
    </row>
    <row r="46" spans="2:17" ht="18" customHeight="1" x14ac:dyDescent="0.2">
      <c r="B46" s="77"/>
      <c r="C46" s="477"/>
      <c r="D46" s="478"/>
      <c r="E46" s="478"/>
      <c r="F46" s="29"/>
      <c r="G46" s="81"/>
      <c r="H46" s="15"/>
      <c r="I46" s="15"/>
      <c r="J46" s="15"/>
      <c r="K46" s="15"/>
      <c r="L46" s="15"/>
      <c r="M46" s="15"/>
      <c r="N46" s="73"/>
      <c r="O46" s="249" t="str">
        <f t="shared" si="0"/>
        <v>/</v>
      </c>
      <c r="P46" s="261" t="str">
        <f t="shared" si="1"/>
        <v>/</v>
      </c>
      <c r="Q46" s="269" t="str">
        <f t="shared" si="2"/>
        <v>/</v>
      </c>
    </row>
    <row r="47" spans="2:17" ht="18" customHeight="1" x14ac:dyDescent="0.2">
      <c r="B47" s="77"/>
      <c r="C47" s="477"/>
      <c r="D47" s="478"/>
      <c r="E47" s="478"/>
      <c r="F47" s="29"/>
      <c r="G47" s="81"/>
      <c r="H47" s="15"/>
      <c r="I47" s="15"/>
      <c r="J47" s="15"/>
      <c r="K47" s="15"/>
      <c r="L47" s="15"/>
      <c r="M47" s="15"/>
      <c r="N47" s="73"/>
      <c r="O47" s="249" t="str">
        <f t="shared" si="0"/>
        <v>/</v>
      </c>
      <c r="P47" s="261" t="str">
        <f t="shared" si="1"/>
        <v>/</v>
      </c>
      <c r="Q47" s="269" t="str">
        <f t="shared" si="2"/>
        <v>/</v>
      </c>
    </row>
    <row r="48" spans="2:17" ht="18" customHeight="1" x14ac:dyDescent="0.2">
      <c r="B48" s="78"/>
      <c r="C48" s="583"/>
      <c r="D48" s="584"/>
      <c r="E48" s="585"/>
      <c r="F48" s="29"/>
      <c r="G48" s="81"/>
      <c r="H48" s="15"/>
      <c r="I48" s="15"/>
      <c r="J48" s="15"/>
      <c r="K48" s="15"/>
      <c r="L48" s="15"/>
      <c r="M48" s="15"/>
      <c r="N48" s="73"/>
      <c r="O48" s="249" t="str">
        <f t="shared" si="0"/>
        <v>/</v>
      </c>
      <c r="P48" s="261" t="str">
        <f t="shared" si="1"/>
        <v>/</v>
      </c>
      <c r="Q48" s="269" t="str">
        <f t="shared" si="2"/>
        <v>/</v>
      </c>
    </row>
    <row r="49" spans="2:18" ht="18" customHeight="1" thickBot="1" x14ac:dyDescent="0.25">
      <c r="B49" s="79"/>
      <c r="C49" s="586"/>
      <c r="D49" s="587"/>
      <c r="E49" s="587"/>
      <c r="F49" s="30" t="str">
        <f>IF($B49="","",#REF!)</f>
        <v/>
      </c>
      <c r="G49" s="82"/>
      <c r="H49" s="16"/>
      <c r="I49" s="16"/>
      <c r="J49" s="16"/>
      <c r="K49" s="16"/>
      <c r="L49" s="16"/>
      <c r="M49" s="16"/>
      <c r="N49" s="74"/>
      <c r="O49" s="250" t="str">
        <f t="shared" si="0"/>
        <v>/</v>
      </c>
      <c r="P49" s="262" t="str">
        <f t="shared" si="1"/>
        <v>/</v>
      </c>
      <c r="Q49" s="270" t="str">
        <f t="shared" si="2"/>
        <v>/</v>
      </c>
    </row>
    <row r="50" spans="2:18" ht="18" customHeight="1" thickBot="1" x14ac:dyDescent="0.25">
      <c r="B50" s="563" t="s">
        <v>74</v>
      </c>
      <c r="C50" s="564"/>
      <c r="D50" s="564"/>
      <c r="E50" s="564"/>
      <c r="F50" s="93">
        <f t="shared" ref="F50:O50" si="3">SUM(F40:F49)</f>
        <v>0</v>
      </c>
      <c r="G50" s="24">
        <f t="shared" si="3"/>
        <v>0</v>
      </c>
      <c r="H50" s="25">
        <f t="shared" si="3"/>
        <v>0</v>
      </c>
      <c r="I50" s="25">
        <f t="shared" si="3"/>
        <v>0</v>
      </c>
      <c r="J50" s="25">
        <f t="shared" si="3"/>
        <v>0</v>
      </c>
      <c r="K50" s="25">
        <f t="shared" si="3"/>
        <v>0</v>
      </c>
      <c r="L50" s="25">
        <f t="shared" si="3"/>
        <v>0</v>
      </c>
      <c r="M50" s="25">
        <f t="shared" si="3"/>
        <v>0</v>
      </c>
      <c r="N50" s="75">
        <f t="shared" si="3"/>
        <v>0</v>
      </c>
      <c r="O50" s="123">
        <f t="shared" si="3"/>
        <v>0</v>
      </c>
      <c r="P50" s="122">
        <f>SUM(P40:P49)</f>
        <v>0</v>
      </c>
      <c r="Q50" s="251" t="str">
        <f>IF($O$50=0,"/",$P$50/$O$50)</f>
        <v>/</v>
      </c>
    </row>
    <row r="51" spans="2:18" ht="18" customHeight="1" thickBot="1" x14ac:dyDescent="0.25"/>
    <row r="52" spans="2:18" ht="18" customHeight="1" x14ac:dyDescent="0.2">
      <c r="G52" s="193" t="s">
        <v>79</v>
      </c>
      <c r="H52" s="194"/>
      <c r="I52" s="194"/>
      <c r="J52" s="194"/>
      <c r="K52" s="194"/>
      <c r="L52" s="194"/>
      <c r="M52" s="194"/>
      <c r="N52" s="195"/>
      <c r="P52" s="6"/>
      <c r="Q52" s="6"/>
    </row>
    <row r="53" spans="2:18" ht="18" customHeight="1" thickBot="1" x14ac:dyDescent="0.25">
      <c r="G53" s="196">
        <v>0.2</v>
      </c>
      <c r="H53" s="197">
        <v>0.6</v>
      </c>
      <c r="I53" s="197">
        <v>0.8</v>
      </c>
      <c r="J53" s="197">
        <v>0.8</v>
      </c>
      <c r="K53" s="197">
        <v>1</v>
      </c>
      <c r="L53" s="197">
        <v>0</v>
      </c>
      <c r="M53" s="197">
        <v>0.7</v>
      </c>
      <c r="N53" s="198">
        <v>1</v>
      </c>
      <c r="P53" s="6"/>
      <c r="Q53" s="11"/>
      <c r="R53" s="3"/>
    </row>
    <row r="54" spans="2:18" ht="18" customHeight="1" x14ac:dyDescent="0.2">
      <c r="R54" s="3"/>
    </row>
    <row r="55" spans="2:18" ht="18" customHeight="1" x14ac:dyDescent="0.2">
      <c r="R55" s="3"/>
    </row>
    <row r="56" spans="2:18" ht="18" customHeight="1" x14ac:dyDescent="0.2">
      <c r="R56" s="3"/>
    </row>
    <row r="57" spans="2:18" ht="18" customHeight="1" x14ac:dyDescent="0.2">
      <c r="B57" s="244" t="s">
        <v>143</v>
      </c>
      <c r="C57" s="137"/>
      <c r="D57" s="137"/>
      <c r="E57" s="137"/>
      <c r="F57" s="137"/>
      <c r="G57" s="137"/>
      <c r="H57" s="137"/>
      <c r="I57" s="137"/>
      <c r="J57" s="137"/>
      <c r="K57" s="137"/>
      <c r="L57" s="137"/>
      <c r="M57" s="137"/>
      <c r="N57" s="137"/>
      <c r="O57" s="137"/>
      <c r="P57" s="137"/>
      <c r="Q57" s="137"/>
    </row>
    <row r="58" spans="2:18" ht="7.5" customHeight="1" x14ac:dyDescent="0.2"/>
    <row r="59" spans="2:18" ht="18" customHeight="1" x14ac:dyDescent="0.2">
      <c r="B59" s="577" t="s">
        <v>154</v>
      </c>
      <c r="C59" s="363" t="s">
        <v>164</v>
      </c>
      <c r="D59" s="162"/>
      <c r="E59" s="162"/>
      <c r="F59" s="162"/>
      <c r="G59" s="162"/>
      <c r="H59" s="162"/>
      <c r="I59" s="162"/>
      <c r="J59" s="162"/>
      <c r="K59" s="162"/>
      <c r="L59" s="162"/>
      <c r="M59" s="162"/>
      <c r="N59" s="162"/>
      <c r="O59" s="162"/>
      <c r="P59" s="162"/>
      <c r="Q59" s="162"/>
    </row>
    <row r="60" spans="2:18" ht="18" customHeight="1" x14ac:dyDescent="0.2">
      <c r="B60" s="577"/>
      <c r="C60" s="363" t="s">
        <v>227</v>
      </c>
      <c r="D60" s="162"/>
      <c r="E60" s="162"/>
      <c r="F60" s="162"/>
      <c r="G60" s="162"/>
      <c r="H60" s="162"/>
      <c r="I60" s="162"/>
      <c r="J60" s="162"/>
      <c r="K60" s="162"/>
      <c r="L60" s="162"/>
      <c r="M60" s="162"/>
      <c r="N60" s="162"/>
      <c r="O60" s="162"/>
      <c r="P60" s="162"/>
      <c r="Q60" s="162"/>
    </row>
    <row r="61" spans="2:18" ht="27" customHeight="1" thickBot="1" x14ac:dyDescent="0.25"/>
    <row r="62" spans="2:18" ht="18" customHeight="1" thickBot="1" x14ac:dyDescent="0.25">
      <c r="C62" s="186" t="s">
        <v>25</v>
      </c>
      <c r="D62" s="187"/>
      <c r="E62" s="248">
        <v>10</v>
      </c>
    </row>
    <row r="63" spans="2:18" ht="18" customHeight="1" thickBot="1" x14ac:dyDescent="0.25">
      <c r="Q63" s="88"/>
    </row>
    <row r="64" spans="2:18" ht="18" customHeight="1" x14ac:dyDescent="0.2">
      <c r="B64" s="594" t="s">
        <v>37</v>
      </c>
      <c r="C64" s="410" t="s">
        <v>192</v>
      </c>
      <c r="D64" s="409"/>
      <c r="E64" s="183"/>
      <c r="F64" s="184"/>
      <c r="G64" s="182" t="s">
        <v>133</v>
      </c>
      <c r="H64" s="183"/>
      <c r="I64" s="183"/>
      <c r="J64" s="184"/>
      <c r="K64" s="410" t="s">
        <v>126</v>
      </c>
      <c r="L64" s="413"/>
      <c r="M64" s="413"/>
      <c r="N64" s="414"/>
      <c r="O64" s="411" t="s">
        <v>190</v>
      </c>
      <c r="P64" s="396"/>
      <c r="Q64" s="412"/>
      <c r="R64" s="408"/>
    </row>
    <row r="65" spans="2:17" s="6" customFormat="1" ht="18" customHeight="1" x14ac:dyDescent="0.2">
      <c r="B65" s="566"/>
      <c r="C65" s="538" t="s">
        <v>31</v>
      </c>
      <c r="D65" s="539"/>
      <c r="E65" s="484" t="s">
        <v>44</v>
      </c>
      <c r="F65" s="489" t="s">
        <v>134</v>
      </c>
      <c r="G65" s="544" t="s">
        <v>20</v>
      </c>
      <c r="H65" s="484" t="s">
        <v>26</v>
      </c>
      <c r="I65" s="484" t="s">
        <v>21</v>
      </c>
      <c r="K65" s="544" t="s">
        <v>215</v>
      </c>
      <c r="L65" s="484" t="s">
        <v>23</v>
      </c>
      <c r="M65" s="484" t="s">
        <v>188</v>
      </c>
      <c r="N65" s="489" t="s">
        <v>187</v>
      </c>
      <c r="O65" s="546" t="s">
        <v>184</v>
      </c>
      <c r="P65" s="580" t="s">
        <v>186</v>
      </c>
      <c r="Q65" s="489" t="s">
        <v>193</v>
      </c>
    </row>
    <row r="66" spans="2:17" s="6" customFormat="1" ht="18" customHeight="1" x14ac:dyDescent="0.2">
      <c r="B66" s="566"/>
      <c r="C66" s="538"/>
      <c r="D66" s="539"/>
      <c r="E66" s="484"/>
      <c r="F66" s="489"/>
      <c r="G66" s="544"/>
      <c r="H66" s="484"/>
      <c r="I66" s="484"/>
      <c r="J66" s="595" t="s">
        <v>22</v>
      </c>
      <c r="K66" s="544"/>
      <c r="L66" s="484"/>
      <c r="M66" s="484"/>
      <c r="N66" s="489"/>
      <c r="O66" s="544"/>
      <c r="P66" s="581"/>
      <c r="Q66" s="489"/>
    </row>
    <row r="67" spans="2:17" s="6" customFormat="1" ht="18" customHeight="1" x14ac:dyDescent="0.2">
      <c r="B67" s="566"/>
      <c r="C67" s="538"/>
      <c r="D67" s="539"/>
      <c r="E67" s="484"/>
      <c r="F67" s="489"/>
      <c r="G67" s="544"/>
      <c r="H67" s="484"/>
      <c r="I67" s="484"/>
      <c r="J67" s="595"/>
      <c r="K67" s="544"/>
      <c r="L67" s="484"/>
      <c r="M67" s="484"/>
      <c r="N67" s="489"/>
      <c r="O67" s="544"/>
      <c r="P67" s="581"/>
      <c r="Q67" s="489"/>
    </row>
    <row r="68" spans="2:17" s="6" customFormat="1" ht="18" customHeight="1" x14ac:dyDescent="0.2">
      <c r="B68" s="566"/>
      <c r="C68" s="538"/>
      <c r="D68" s="539"/>
      <c r="E68" s="484"/>
      <c r="F68" s="489"/>
      <c r="G68" s="544"/>
      <c r="H68" s="484"/>
      <c r="I68" s="484"/>
      <c r="J68" s="595"/>
      <c r="K68" s="544"/>
      <c r="L68" s="484"/>
      <c r="M68" s="484"/>
      <c r="N68" s="489"/>
      <c r="O68" s="544"/>
      <c r="P68" s="581"/>
      <c r="Q68" s="489"/>
    </row>
    <row r="69" spans="2:17" s="6" customFormat="1" ht="18" customHeight="1" x14ac:dyDescent="0.2">
      <c r="B69" s="566"/>
      <c r="C69" s="538"/>
      <c r="D69" s="539"/>
      <c r="E69" s="484"/>
      <c r="F69" s="489"/>
      <c r="G69" s="544"/>
      <c r="H69" s="484"/>
      <c r="I69" s="484"/>
      <c r="J69" s="429" t="str">
        <f>IF(MAX(J71:J80)&gt;100,"i","")</f>
        <v/>
      </c>
      <c r="K69" s="544"/>
      <c r="L69" s="484"/>
      <c r="M69" s="484"/>
      <c r="N69" s="489"/>
      <c r="O69" s="544"/>
      <c r="P69" s="581"/>
      <c r="Q69" s="489"/>
    </row>
    <row r="70" spans="2:17" s="6" customFormat="1" ht="18" customHeight="1" thickBot="1" x14ac:dyDescent="0.25">
      <c r="B70" s="567"/>
      <c r="C70" s="540"/>
      <c r="D70" s="541"/>
      <c r="E70" s="19" t="s">
        <v>135</v>
      </c>
      <c r="F70" s="175" t="s">
        <v>84</v>
      </c>
      <c r="G70" s="18" t="s">
        <v>136</v>
      </c>
      <c r="H70" s="20" t="s">
        <v>137</v>
      </c>
      <c r="I70" s="20" t="s">
        <v>138</v>
      </c>
      <c r="J70" s="300" t="s">
        <v>139</v>
      </c>
      <c r="K70" s="18" t="s">
        <v>140</v>
      </c>
      <c r="L70" s="19" t="s">
        <v>82</v>
      </c>
      <c r="M70" s="19" t="s">
        <v>141</v>
      </c>
      <c r="N70" s="175" t="s">
        <v>142</v>
      </c>
      <c r="O70" s="19" t="s">
        <v>185</v>
      </c>
      <c r="P70" s="582"/>
      <c r="Q70" s="27" t="s">
        <v>10</v>
      </c>
    </row>
    <row r="71" spans="2:17" s="6" customFormat="1" ht="18" customHeight="1" x14ac:dyDescent="0.2">
      <c r="B71" s="292" t="str">
        <f t="shared" ref="B71:B80" si="4">IF($B40="","",$B40)</f>
        <v/>
      </c>
      <c r="C71" s="477"/>
      <c r="D71" s="478"/>
      <c r="E71" s="297" t="str">
        <f t="shared" ref="E71:E80" si="5">IF(OR($C71=$B$131,$C71=$B$133),IF($F40=0,"?",$F40),"")</f>
        <v/>
      </c>
      <c r="F71" s="298"/>
      <c r="G71" s="314" t="str">
        <f t="shared" ref="G71:G80" si="6">IF(OR($O40="/",$C40=$D$128,$C71=""),"/",IF(OR($E71="?",AND($F71=0,OR($C71=$B$131,$C71=$B$133))),"?",IF(OR($C71=$B$131,C71=$B$133),$E71*$F71*1000,0)))</f>
        <v>/</v>
      </c>
      <c r="H71" s="315" t="str">
        <f t="shared" ref="H71:H80" si="7">IF(OR($O40="/",$C40=$D$128,$C71=""),"/",IF(OR($C71=$B$132,$C71=$B$133),$O40*$E$62/10000,0))</f>
        <v>/</v>
      </c>
      <c r="I71" s="315" t="str">
        <f t="shared" ref="I71:I80" si="8">IF(OR($O40="/",$C40=$D$128,$C71=""),"/",IF(OR($G71="?",$H71="?"),"?",$G71+$H71))</f>
        <v>/</v>
      </c>
      <c r="J71" s="301" t="str">
        <f t="shared" ref="J71:J80" si="9">IF(OR($O40="/",$O40=0,$C40=$D$128,$C71=""),"/",IF($I71="?","?",$I71/($P40/10000)))</f>
        <v>/</v>
      </c>
      <c r="K71" s="302" t="str">
        <f>IF($J71="/","/",IF($J71="?","?",IF($J71&lt;5,480-13.5*$J71,IF($J71&lt;40,544.5*($J71^(-0.173)),IF($J71&lt;=100,359.5-1.8*$J71,180)))))</f>
        <v>/</v>
      </c>
      <c r="L71" s="299" t="str">
        <f>IF($K71="/","/",IF($K71="?","?",$K71*($P40/10000)))</f>
        <v>/</v>
      </c>
      <c r="M71" s="168" t="str">
        <f>IF($L71="/","/",IF($L71="?","?",IF($F40=0,"?",($L71/$F40)*100)))</f>
        <v>/</v>
      </c>
      <c r="N71" s="301" t="str">
        <f>IF($L71="/","/",IF($L71="?","?",$L71/($I71*3600/1000)))</f>
        <v>/</v>
      </c>
      <c r="O71" s="398"/>
      <c r="P71" s="404" t="str">
        <f>IF($L71="/","/",IF(OR($O71="",$L71="?"),"?",MIN($O71/$L71,1)))</f>
        <v>/</v>
      </c>
      <c r="Q71" s="401" t="str">
        <f>IF($L71="/","/",IF(L71="?","?",MAX($L71-$O71,0)))</f>
        <v>/</v>
      </c>
    </row>
    <row r="72" spans="2:17" s="6" customFormat="1" ht="18" customHeight="1" x14ac:dyDescent="0.2">
      <c r="B72" s="293" t="str">
        <f t="shared" si="4"/>
        <v/>
      </c>
      <c r="C72" s="477"/>
      <c r="D72" s="478"/>
      <c r="E72" s="297" t="str">
        <f t="shared" si="5"/>
        <v/>
      </c>
      <c r="F72" s="298"/>
      <c r="G72" s="314" t="str">
        <f t="shared" si="6"/>
        <v>/</v>
      </c>
      <c r="H72" s="315" t="str">
        <f t="shared" si="7"/>
        <v>/</v>
      </c>
      <c r="I72" s="316" t="str">
        <f t="shared" si="8"/>
        <v>/</v>
      </c>
      <c r="J72" s="268" t="str">
        <f t="shared" si="9"/>
        <v>/</v>
      </c>
      <c r="K72" s="302" t="str">
        <f t="shared" ref="K72:K80" si="10">IF($J72="/","/",IF($J72="?","?",IF($J72&lt;5,480-13.5*$J72,IF($J72&lt;40,544.5*($J72^(-0.173)),IF($J72&lt;=100,359.5-1.8*$J72,180)))))</f>
        <v>/</v>
      </c>
      <c r="L72" s="295" t="str">
        <f t="shared" ref="L72:L80" si="11">IF($K72="/","/",IF($K72="?","?",$K72*($P41/10000)))</f>
        <v>/</v>
      </c>
      <c r="M72" s="168" t="str">
        <f t="shared" ref="M72:M80" si="12">IF($L72="/","/",IF($L72="?","?",IF($F41=0,"?",($L72/$F41)*100)))</f>
        <v>/</v>
      </c>
      <c r="N72" s="268" t="str">
        <f t="shared" ref="N72:N80" si="13">IF($L72="/","/",IF($L72="?","?",$L72/($I72*3600/1000)))</f>
        <v>/</v>
      </c>
      <c r="O72" s="399"/>
      <c r="P72" s="405" t="str">
        <f t="shared" ref="P72:P80" si="14">IF($L72="/","/",IF(OR($O72="",$L72="?"),"?",MIN($O72/$L72,1)))</f>
        <v>/</v>
      </c>
      <c r="Q72" s="402" t="str">
        <f t="shared" ref="Q72:Q80" si="15">IF($L72="/","/",IF(L72="?","?",MAX($L72-$O72,0)))</f>
        <v>/</v>
      </c>
    </row>
    <row r="73" spans="2:17" s="6" customFormat="1" ht="18" customHeight="1" x14ac:dyDescent="0.2">
      <c r="B73" s="293" t="str">
        <f t="shared" si="4"/>
        <v/>
      </c>
      <c r="C73" s="477"/>
      <c r="D73" s="478"/>
      <c r="E73" s="297" t="str">
        <f t="shared" si="5"/>
        <v/>
      </c>
      <c r="F73" s="298"/>
      <c r="G73" s="314" t="str">
        <f t="shared" si="6"/>
        <v>/</v>
      </c>
      <c r="H73" s="315" t="str">
        <f t="shared" si="7"/>
        <v>/</v>
      </c>
      <c r="I73" s="316" t="str">
        <f t="shared" si="8"/>
        <v>/</v>
      </c>
      <c r="J73" s="268" t="str">
        <f t="shared" si="9"/>
        <v>/</v>
      </c>
      <c r="K73" s="302" t="str">
        <f t="shared" si="10"/>
        <v>/</v>
      </c>
      <c r="L73" s="295" t="str">
        <f t="shared" si="11"/>
        <v>/</v>
      </c>
      <c r="M73" s="168" t="str">
        <f t="shared" si="12"/>
        <v>/</v>
      </c>
      <c r="N73" s="268" t="str">
        <f t="shared" si="13"/>
        <v>/</v>
      </c>
      <c r="O73" s="399"/>
      <c r="P73" s="405" t="str">
        <f t="shared" si="14"/>
        <v>/</v>
      </c>
      <c r="Q73" s="402" t="str">
        <f t="shared" si="15"/>
        <v>/</v>
      </c>
    </row>
    <row r="74" spans="2:17" s="6" customFormat="1" ht="18" customHeight="1" x14ac:dyDescent="0.2">
      <c r="B74" s="293" t="str">
        <f t="shared" si="4"/>
        <v/>
      </c>
      <c r="C74" s="477"/>
      <c r="D74" s="478"/>
      <c r="E74" s="297" t="str">
        <f t="shared" si="5"/>
        <v/>
      </c>
      <c r="F74" s="296"/>
      <c r="G74" s="314" t="str">
        <f t="shared" si="6"/>
        <v>/</v>
      </c>
      <c r="H74" s="315" t="str">
        <f t="shared" si="7"/>
        <v>/</v>
      </c>
      <c r="I74" s="316" t="str">
        <f t="shared" si="8"/>
        <v>/</v>
      </c>
      <c r="J74" s="268" t="str">
        <f t="shared" si="9"/>
        <v>/</v>
      </c>
      <c r="K74" s="302" t="str">
        <f t="shared" si="10"/>
        <v>/</v>
      </c>
      <c r="L74" s="295" t="str">
        <f t="shared" si="11"/>
        <v>/</v>
      </c>
      <c r="M74" s="168" t="str">
        <f t="shared" si="12"/>
        <v>/</v>
      </c>
      <c r="N74" s="268" t="str">
        <f t="shared" si="13"/>
        <v>/</v>
      </c>
      <c r="O74" s="399"/>
      <c r="P74" s="405" t="str">
        <f t="shared" si="14"/>
        <v>/</v>
      </c>
      <c r="Q74" s="402" t="str">
        <f t="shared" si="15"/>
        <v>/</v>
      </c>
    </row>
    <row r="75" spans="2:17" s="6" customFormat="1" ht="18" customHeight="1" x14ac:dyDescent="0.2">
      <c r="B75" s="293" t="str">
        <f t="shared" si="4"/>
        <v/>
      </c>
      <c r="C75" s="477"/>
      <c r="D75" s="478"/>
      <c r="E75" s="297" t="str">
        <f t="shared" si="5"/>
        <v/>
      </c>
      <c r="F75" s="296"/>
      <c r="G75" s="314" t="str">
        <f t="shared" si="6"/>
        <v>/</v>
      </c>
      <c r="H75" s="315" t="str">
        <f t="shared" si="7"/>
        <v>/</v>
      </c>
      <c r="I75" s="316" t="str">
        <f t="shared" si="8"/>
        <v>/</v>
      </c>
      <c r="J75" s="268" t="str">
        <f t="shared" si="9"/>
        <v>/</v>
      </c>
      <c r="K75" s="302" t="str">
        <f t="shared" si="10"/>
        <v>/</v>
      </c>
      <c r="L75" s="295" t="str">
        <f t="shared" si="11"/>
        <v>/</v>
      </c>
      <c r="M75" s="168" t="str">
        <f t="shared" si="12"/>
        <v>/</v>
      </c>
      <c r="N75" s="268" t="str">
        <f t="shared" si="13"/>
        <v>/</v>
      </c>
      <c r="O75" s="399"/>
      <c r="P75" s="405" t="str">
        <f t="shared" si="14"/>
        <v>/</v>
      </c>
      <c r="Q75" s="402" t="str">
        <f t="shared" si="15"/>
        <v>/</v>
      </c>
    </row>
    <row r="76" spans="2:17" s="6" customFormat="1" ht="18" customHeight="1" x14ac:dyDescent="0.2">
      <c r="B76" s="293" t="str">
        <f t="shared" si="4"/>
        <v/>
      </c>
      <c r="C76" s="477"/>
      <c r="D76" s="478"/>
      <c r="E76" s="297" t="str">
        <f t="shared" si="5"/>
        <v/>
      </c>
      <c r="F76" s="296"/>
      <c r="G76" s="314" t="str">
        <f t="shared" si="6"/>
        <v>/</v>
      </c>
      <c r="H76" s="315" t="str">
        <f t="shared" si="7"/>
        <v>/</v>
      </c>
      <c r="I76" s="316" t="str">
        <f t="shared" si="8"/>
        <v>/</v>
      </c>
      <c r="J76" s="268" t="str">
        <f t="shared" si="9"/>
        <v>/</v>
      </c>
      <c r="K76" s="302" t="str">
        <f t="shared" si="10"/>
        <v>/</v>
      </c>
      <c r="L76" s="295" t="str">
        <f t="shared" si="11"/>
        <v>/</v>
      </c>
      <c r="M76" s="168" t="str">
        <f t="shared" si="12"/>
        <v>/</v>
      </c>
      <c r="N76" s="268" t="str">
        <f t="shared" si="13"/>
        <v>/</v>
      </c>
      <c r="O76" s="399"/>
      <c r="P76" s="405" t="str">
        <f t="shared" si="14"/>
        <v>/</v>
      </c>
      <c r="Q76" s="402" t="str">
        <f t="shared" si="15"/>
        <v>/</v>
      </c>
    </row>
    <row r="77" spans="2:17" s="6" customFormat="1" ht="18" customHeight="1" x14ac:dyDescent="0.2">
      <c r="B77" s="293" t="str">
        <f t="shared" si="4"/>
        <v/>
      </c>
      <c r="C77" s="477"/>
      <c r="D77" s="478"/>
      <c r="E77" s="297" t="str">
        <f t="shared" si="5"/>
        <v/>
      </c>
      <c r="F77" s="296"/>
      <c r="G77" s="314" t="str">
        <f t="shared" si="6"/>
        <v>/</v>
      </c>
      <c r="H77" s="315" t="str">
        <f t="shared" si="7"/>
        <v>/</v>
      </c>
      <c r="I77" s="316" t="str">
        <f t="shared" si="8"/>
        <v>/</v>
      </c>
      <c r="J77" s="268" t="str">
        <f t="shared" si="9"/>
        <v>/</v>
      </c>
      <c r="K77" s="302" t="str">
        <f t="shared" si="10"/>
        <v>/</v>
      </c>
      <c r="L77" s="295" t="str">
        <f t="shared" si="11"/>
        <v>/</v>
      </c>
      <c r="M77" s="168" t="str">
        <f t="shared" si="12"/>
        <v>/</v>
      </c>
      <c r="N77" s="268" t="str">
        <f t="shared" si="13"/>
        <v>/</v>
      </c>
      <c r="O77" s="399"/>
      <c r="P77" s="405" t="str">
        <f t="shared" si="14"/>
        <v>/</v>
      </c>
      <c r="Q77" s="402" t="str">
        <f t="shared" si="15"/>
        <v>/</v>
      </c>
    </row>
    <row r="78" spans="2:17" s="6" customFormat="1" ht="18" customHeight="1" x14ac:dyDescent="0.2">
      <c r="B78" s="293" t="str">
        <f t="shared" si="4"/>
        <v/>
      </c>
      <c r="C78" s="477"/>
      <c r="D78" s="478"/>
      <c r="E78" s="297" t="str">
        <f t="shared" si="5"/>
        <v/>
      </c>
      <c r="F78" s="296"/>
      <c r="G78" s="314" t="str">
        <f t="shared" si="6"/>
        <v>/</v>
      </c>
      <c r="H78" s="315" t="str">
        <f t="shared" si="7"/>
        <v>/</v>
      </c>
      <c r="I78" s="316" t="str">
        <f t="shared" si="8"/>
        <v>/</v>
      </c>
      <c r="J78" s="268" t="str">
        <f t="shared" si="9"/>
        <v>/</v>
      </c>
      <c r="K78" s="302" t="str">
        <f t="shared" si="10"/>
        <v>/</v>
      </c>
      <c r="L78" s="295" t="str">
        <f t="shared" si="11"/>
        <v>/</v>
      </c>
      <c r="M78" s="168" t="str">
        <f t="shared" si="12"/>
        <v>/</v>
      </c>
      <c r="N78" s="268" t="str">
        <f t="shared" si="13"/>
        <v>/</v>
      </c>
      <c r="O78" s="399"/>
      <c r="P78" s="405" t="str">
        <f t="shared" si="14"/>
        <v>/</v>
      </c>
      <c r="Q78" s="402" t="str">
        <f t="shared" si="15"/>
        <v>/</v>
      </c>
    </row>
    <row r="79" spans="2:17" s="6" customFormat="1" ht="18" customHeight="1" x14ac:dyDescent="0.2">
      <c r="B79" s="293" t="str">
        <f t="shared" si="4"/>
        <v/>
      </c>
      <c r="C79" s="592"/>
      <c r="D79" s="593"/>
      <c r="E79" s="297" t="str">
        <f t="shared" si="5"/>
        <v/>
      </c>
      <c r="F79" s="296"/>
      <c r="G79" s="314" t="str">
        <f t="shared" si="6"/>
        <v>/</v>
      </c>
      <c r="H79" s="315" t="str">
        <f t="shared" si="7"/>
        <v>/</v>
      </c>
      <c r="I79" s="316" t="str">
        <f t="shared" si="8"/>
        <v>/</v>
      </c>
      <c r="J79" s="268" t="str">
        <f t="shared" si="9"/>
        <v>/</v>
      </c>
      <c r="K79" s="302" t="str">
        <f t="shared" si="10"/>
        <v>/</v>
      </c>
      <c r="L79" s="295" t="str">
        <f t="shared" si="11"/>
        <v>/</v>
      </c>
      <c r="M79" s="168" t="str">
        <f t="shared" si="12"/>
        <v>/</v>
      </c>
      <c r="N79" s="268" t="str">
        <f t="shared" si="13"/>
        <v>/</v>
      </c>
      <c r="O79" s="399"/>
      <c r="P79" s="405" t="str">
        <f t="shared" si="14"/>
        <v>/</v>
      </c>
      <c r="Q79" s="402" t="str">
        <f t="shared" si="15"/>
        <v>/</v>
      </c>
    </row>
    <row r="80" spans="2:17" s="6" customFormat="1" ht="18" customHeight="1" thickBot="1" x14ac:dyDescent="0.25">
      <c r="B80" s="294" t="str">
        <f t="shared" si="4"/>
        <v/>
      </c>
      <c r="C80" s="588"/>
      <c r="D80" s="589"/>
      <c r="E80" s="297" t="str">
        <f t="shared" si="5"/>
        <v/>
      </c>
      <c r="F80" s="303"/>
      <c r="G80" s="314" t="str">
        <f t="shared" si="6"/>
        <v>/</v>
      </c>
      <c r="H80" s="315" t="str">
        <f t="shared" si="7"/>
        <v>/</v>
      </c>
      <c r="I80" s="317" t="str">
        <f t="shared" si="8"/>
        <v>/</v>
      </c>
      <c r="J80" s="305" t="str">
        <f t="shared" si="9"/>
        <v>/</v>
      </c>
      <c r="K80" s="306" t="str">
        <f t="shared" si="10"/>
        <v>/</v>
      </c>
      <c r="L80" s="304" t="str">
        <f t="shared" si="11"/>
        <v>/</v>
      </c>
      <c r="M80" s="168" t="str">
        <f t="shared" si="12"/>
        <v>/</v>
      </c>
      <c r="N80" s="305" t="str">
        <f t="shared" si="13"/>
        <v>/</v>
      </c>
      <c r="O80" s="400"/>
      <c r="P80" s="256" t="str">
        <f t="shared" si="14"/>
        <v>/</v>
      </c>
      <c r="Q80" s="403" t="str">
        <f t="shared" si="15"/>
        <v>/</v>
      </c>
    </row>
    <row r="81" spans="2:18" s="6" customFormat="1" ht="18" customHeight="1" thickBot="1" x14ac:dyDescent="0.25">
      <c r="B81" s="181" t="s">
        <v>74</v>
      </c>
      <c r="C81" s="590" t="s">
        <v>27</v>
      </c>
      <c r="D81" s="591"/>
      <c r="E81" s="307">
        <f>SUM(E71:E80)</f>
        <v>0</v>
      </c>
      <c r="F81" s="308" t="s">
        <v>27</v>
      </c>
      <c r="G81" s="318">
        <f>SUM(G71:G80)</f>
        <v>0</v>
      </c>
      <c r="H81" s="319">
        <f>SUM(H71:H80)</f>
        <v>0</v>
      </c>
      <c r="I81" s="319">
        <f>SUM(I71:I80)</f>
        <v>0</v>
      </c>
      <c r="J81" s="308" t="s">
        <v>27</v>
      </c>
      <c r="K81" s="310" t="s">
        <v>27</v>
      </c>
      <c r="L81" s="309">
        <f>SUM(L71:L80)</f>
        <v>0</v>
      </c>
      <c r="M81" s="320" t="s">
        <v>27</v>
      </c>
      <c r="N81" s="308" t="s">
        <v>27</v>
      </c>
      <c r="O81" s="397">
        <f>SUM(O71:O80)</f>
        <v>0</v>
      </c>
      <c r="P81" s="406" t="s">
        <v>27</v>
      </c>
      <c r="Q81" s="407">
        <f>SUM(Q71:Q80)</f>
        <v>0</v>
      </c>
      <c r="R81" s="252"/>
    </row>
    <row r="83" spans="2:18" ht="18" customHeight="1" x14ac:dyDescent="0.2">
      <c r="B83" s="428" t="s">
        <v>154</v>
      </c>
      <c r="C83" s="364" t="str">
        <f>IF(MAX($J$71:$J$80)&gt;100,"Lorsque le débit spécifique est supérieur à 100 L/s/ha actif, un volume de 180 m³/ha actif est appliqué par défaut dans le présent tableur.","")</f>
        <v/>
      </c>
      <c r="D83" s="162"/>
      <c r="E83" s="162"/>
      <c r="F83" s="162"/>
      <c r="G83" s="162"/>
      <c r="H83" s="162"/>
      <c r="I83" s="162"/>
      <c r="J83" s="162"/>
      <c r="K83" s="162"/>
      <c r="L83" s="162"/>
    </row>
    <row r="84" spans="2:18" ht="18" customHeight="1" x14ac:dyDescent="0.2">
      <c r="B84" s="427"/>
    </row>
    <row r="85" spans="2:18" ht="18" customHeight="1" x14ac:dyDescent="0.2">
      <c r="B85" s="244" t="s">
        <v>189</v>
      </c>
      <c r="C85" s="137"/>
      <c r="D85" s="137"/>
      <c r="E85" s="137"/>
      <c r="F85" s="137"/>
      <c r="G85" s="137"/>
      <c r="H85" s="137"/>
      <c r="I85" s="137"/>
      <c r="J85" s="137"/>
      <c r="K85" s="137"/>
      <c r="L85" s="137"/>
      <c r="M85" s="137"/>
      <c r="N85" s="137"/>
      <c r="O85" s="137"/>
      <c r="P85" s="137"/>
      <c r="Q85" s="137"/>
    </row>
    <row r="86" spans="2:18" ht="18" customHeight="1" thickBot="1" x14ac:dyDescent="0.25"/>
    <row r="87" spans="2:18" ht="18" customHeight="1" thickBot="1" x14ac:dyDescent="0.25">
      <c r="B87" s="217" t="s">
        <v>39</v>
      </c>
      <c r="C87" s="218"/>
      <c r="D87" s="218"/>
      <c r="E87" s="219" t="str">
        <f>IF($E$23=0,"?",$E$23)</f>
        <v>?</v>
      </c>
    </row>
    <row r="88" spans="2:18" ht="18" customHeight="1" thickBot="1" x14ac:dyDescent="0.25"/>
    <row r="89" spans="2:18" ht="18" customHeight="1" thickBot="1" x14ac:dyDescent="0.25">
      <c r="B89" s="4" t="s">
        <v>214</v>
      </c>
      <c r="C89" s="117"/>
      <c r="D89" s="117"/>
      <c r="E89" s="117"/>
      <c r="G89" s="4" t="s">
        <v>216</v>
      </c>
      <c r="K89" s="565" t="s">
        <v>213</v>
      </c>
      <c r="L89" s="565" t="s">
        <v>209</v>
      </c>
    </row>
    <row r="90" spans="2:18" ht="18" customHeight="1" thickBot="1" x14ac:dyDescent="0.25">
      <c r="C90" s="117"/>
      <c r="D90" s="117"/>
      <c r="E90" s="209" t="s">
        <v>3</v>
      </c>
      <c r="K90" s="579"/>
      <c r="L90" s="579"/>
    </row>
    <row r="91" spans="2:18" ht="18" customHeight="1" thickTop="1" x14ac:dyDescent="0.2">
      <c r="B91" s="156" t="s">
        <v>150</v>
      </c>
      <c r="C91" s="350"/>
      <c r="D91" s="351"/>
      <c r="E91" s="345">
        <f>$G$50</f>
        <v>0</v>
      </c>
      <c r="G91" s="416" t="s">
        <v>217</v>
      </c>
      <c r="H91" s="417"/>
      <c r="I91" s="417"/>
      <c r="J91" s="417"/>
      <c r="K91" s="422"/>
      <c r="L91" s="426"/>
      <c r="N91" s="468" t="s">
        <v>225</v>
      </c>
      <c r="O91" s="469"/>
      <c r="P91" s="602"/>
      <c r="Q91" s="596" t="str">
        <f>$L$94</f>
        <v>?</v>
      </c>
    </row>
    <row r="92" spans="2:18" ht="18" customHeight="1" x14ac:dyDescent="0.2">
      <c r="B92" s="496" t="s">
        <v>168</v>
      </c>
      <c r="C92" s="497"/>
      <c r="D92" s="498"/>
      <c r="E92" s="502">
        <f>SUM($H$50:$I$50)</f>
        <v>0</v>
      </c>
      <c r="G92" s="132" t="s">
        <v>207</v>
      </c>
      <c r="H92" s="130"/>
      <c r="I92" s="37"/>
      <c r="J92" s="54"/>
      <c r="K92" s="421">
        <f>SUMIF($P$71:$P$80,"&gt;0,99",$O$40:$O$49)</f>
        <v>0</v>
      </c>
      <c r="L92" s="207" t="str">
        <f>IF($E$87="?","?",$K92/$E$87)</f>
        <v>?</v>
      </c>
      <c r="N92" s="471"/>
      <c r="O92" s="472"/>
      <c r="P92" s="603"/>
      <c r="Q92" s="597"/>
    </row>
    <row r="93" spans="2:18" ht="18" customHeight="1" x14ac:dyDescent="0.2">
      <c r="B93" s="499"/>
      <c r="C93" s="500"/>
      <c r="D93" s="501"/>
      <c r="E93" s="503"/>
      <c r="G93" s="132" t="s">
        <v>212</v>
      </c>
      <c r="H93" s="37"/>
      <c r="I93" s="37"/>
      <c r="J93" s="54"/>
      <c r="K93" s="415">
        <f>K94-K92</f>
        <v>0</v>
      </c>
      <c r="L93" s="207" t="str">
        <f>IF($E$87="?","?",$K93/$E$87)</f>
        <v>?</v>
      </c>
      <c r="N93" s="471"/>
      <c r="O93" s="472"/>
      <c r="P93" s="603"/>
      <c r="Q93" s="597"/>
    </row>
    <row r="94" spans="2:18" ht="18" customHeight="1" thickBot="1" x14ac:dyDescent="0.25">
      <c r="B94" s="352" t="s">
        <v>151</v>
      </c>
      <c r="C94" s="353"/>
      <c r="D94" s="354"/>
      <c r="E94" s="346">
        <f>$L$50</f>
        <v>0</v>
      </c>
      <c r="G94" s="418" t="s">
        <v>118</v>
      </c>
      <c r="H94" s="419"/>
      <c r="I94" s="419"/>
      <c r="J94" s="424"/>
      <c r="K94" s="423">
        <f>SUMPRODUCT($P$71:$P$80,$O$40:$O$49)</f>
        <v>0</v>
      </c>
      <c r="L94" s="374" t="str">
        <f>IF($E$87="?","?",SUM(L92:L93))</f>
        <v>?</v>
      </c>
      <c r="N94" s="471"/>
      <c r="O94" s="472"/>
      <c r="P94" s="603"/>
      <c r="Q94" s="597"/>
    </row>
    <row r="95" spans="2:18" ht="18" customHeight="1" thickBot="1" x14ac:dyDescent="0.25">
      <c r="B95" s="379" t="s">
        <v>152</v>
      </c>
      <c r="C95" s="380"/>
      <c r="D95" s="381"/>
      <c r="E95" s="346">
        <f>$M$50</f>
        <v>0</v>
      </c>
      <c r="G95" s="448" t="s">
        <v>218</v>
      </c>
      <c r="H95" s="449"/>
      <c r="I95" s="449"/>
      <c r="J95" s="449"/>
      <c r="K95" s="450"/>
      <c r="L95" s="313"/>
      <c r="N95" s="474"/>
      <c r="O95" s="475"/>
      <c r="P95" s="604"/>
      <c r="Q95" s="598"/>
    </row>
    <row r="96" spans="2:18" ht="18" customHeight="1" thickTop="1" x14ac:dyDescent="0.2">
      <c r="B96" s="508" t="s">
        <v>169</v>
      </c>
      <c r="C96" s="509"/>
      <c r="D96" s="509"/>
      <c r="E96" s="514">
        <f ca="1">$J$50-SUMIF($C$40:$E$49,$D$128,$J$40:$J$49)+$K$50-SUMIF($C$40:$E$49,$D$128,$K$40:$K$49)+$N$50-SUMIF($C$40:$E$49,$D$128,$N$40:$N$49)</f>
        <v>0</v>
      </c>
      <c r="G96" s="425" t="s">
        <v>211</v>
      </c>
      <c r="H96" s="380"/>
      <c r="I96" s="380"/>
      <c r="J96" s="54"/>
      <c r="K96" s="421">
        <f>SUMIF($P$71:$P$80,"&lt;=0,99",$O$40:$O$49)-$K$93</f>
        <v>0</v>
      </c>
      <c r="L96" s="207" t="str">
        <f>IF($E$87="?","?",$K96/$E$87)</f>
        <v>?</v>
      </c>
    </row>
    <row r="97" spans="2:14" ht="18" customHeight="1" x14ac:dyDescent="0.2">
      <c r="B97" s="508"/>
      <c r="C97" s="509"/>
      <c r="D97" s="509"/>
      <c r="E97" s="514"/>
      <c r="G97" s="425" t="s">
        <v>210</v>
      </c>
      <c r="H97" s="380"/>
      <c r="I97" s="380"/>
      <c r="J97" s="54"/>
      <c r="K97" s="421">
        <f ca="1">SUMIF($C$40:$E$49,$D$128,$O$40:$O$49)</f>
        <v>0</v>
      </c>
      <c r="L97" s="207" t="str">
        <f>IF($E$87="?","?",$K97/$E$87)</f>
        <v>?</v>
      </c>
      <c r="N97" s="7" t="s">
        <v>162</v>
      </c>
    </row>
    <row r="98" spans="2:14" ht="18" customHeight="1" x14ac:dyDescent="0.2">
      <c r="B98" s="510" t="s">
        <v>170</v>
      </c>
      <c r="C98" s="511"/>
      <c r="D98" s="511"/>
      <c r="E98" s="515">
        <f ca="1">SUMIF($C$40:$E$49,$D$128,$J$40:$J$49)+SUMIF($C$40:$E$49,$D$128,$K$40:$K$49)+SUMIF($C$40:$E$49,$D$128,$N$40:$N$49)</f>
        <v>0</v>
      </c>
      <c r="G98" s="425" t="s">
        <v>208</v>
      </c>
      <c r="H98" s="380"/>
      <c r="I98" s="380"/>
      <c r="J98" s="54"/>
      <c r="K98" s="421">
        <f ca="1">$E$103</f>
        <v>0</v>
      </c>
      <c r="L98" s="207" t="str">
        <f>IF($E$87="?","?",$K98/$E$87)</f>
        <v>?</v>
      </c>
      <c r="N98" s="213" t="s">
        <v>129</v>
      </c>
    </row>
    <row r="99" spans="2:14" ht="18" customHeight="1" thickBot="1" x14ac:dyDescent="0.25">
      <c r="B99" s="599"/>
      <c r="C99" s="600"/>
      <c r="D99" s="600"/>
      <c r="E99" s="601"/>
      <c r="G99" s="451" t="s">
        <v>118</v>
      </c>
      <c r="H99" s="452"/>
      <c r="I99" s="452"/>
      <c r="J99" s="453"/>
      <c r="K99" s="454">
        <f ca="1">SUM(K96:K98)</f>
        <v>0</v>
      </c>
      <c r="L99" s="455" t="str">
        <f>IF(E87="?","?",SUM(L96:L98))</f>
        <v>?</v>
      </c>
      <c r="N99" s="213" t="s">
        <v>130</v>
      </c>
    </row>
    <row r="100" spans="2:14" ht="18" customHeight="1" thickBot="1" x14ac:dyDescent="0.25">
      <c r="B100" s="508" t="s">
        <v>206</v>
      </c>
      <c r="C100" s="509"/>
      <c r="D100" s="509"/>
      <c r="E100" s="514">
        <f ca="1">SUMIF($C$40:$E$49,$D$125,$F$40:$F$49)</f>
        <v>0</v>
      </c>
      <c r="G100" s="157" t="s">
        <v>74</v>
      </c>
      <c r="H100" s="158"/>
      <c r="I100" s="158"/>
      <c r="J100" s="158"/>
      <c r="K100" s="206">
        <f ca="1">K94+K99</f>
        <v>0</v>
      </c>
      <c r="L100" s="208" t="str">
        <f>IF($E$87="?","?",$L$94+$L$99)</f>
        <v>?</v>
      </c>
    </row>
    <row r="101" spans="2:14" ht="18" customHeight="1" thickBot="1" x14ac:dyDescent="0.25">
      <c r="B101" s="512"/>
      <c r="C101" s="513"/>
      <c r="D101" s="513"/>
      <c r="E101" s="516"/>
    </row>
    <row r="102" spans="2:14" ht="18" customHeight="1" thickBot="1" x14ac:dyDescent="0.25">
      <c r="B102" s="347" t="s">
        <v>117</v>
      </c>
      <c r="C102" s="348"/>
      <c r="D102" s="349"/>
      <c r="E102" s="236">
        <f ca="1">SUM($E$91:$E$101)</f>
        <v>0</v>
      </c>
    </row>
    <row r="103" spans="2:14" ht="18" customHeight="1" thickBot="1" x14ac:dyDescent="0.25">
      <c r="B103" s="464" t="s">
        <v>110</v>
      </c>
      <c r="C103" s="465"/>
      <c r="D103" s="465"/>
      <c r="E103" s="506">
        <f ca="1">IF($E$23&lt;=$E$102,0,$E$23-$E$102)</f>
        <v>0</v>
      </c>
      <c r="G103" s="4" t="s">
        <v>224</v>
      </c>
    </row>
    <row r="104" spans="2:14" ht="18" customHeight="1" thickBot="1" x14ac:dyDescent="0.25">
      <c r="B104" s="466"/>
      <c r="C104" s="467"/>
      <c r="D104" s="467"/>
      <c r="E104" s="507"/>
      <c r="K104" s="209" t="s">
        <v>10</v>
      </c>
      <c r="L104" s="209" t="s">
        <v>194</v>
      </c>
    </row>
    <row r="105" spans="2:14" ht="18" customHeight="1" thickBot="1" x14ac:dyDescent="0.25">
      <c r="B105" s="214" t="s">
        <v>74</v>
      </c>
      <c r="C105" s="216"/>
      <c r="D105" s="215"/>
      <c r="E105" s="185">
        <f ca="1">E102+E103</f>
        <v>0</v>
      </c>
      <c r="G105" s="416" t="s">
        <v>219</v>
      </c>
      <c r="H105" s="417"/>
      <c r="I105" s="417"/>
      <c r="J105" s="417"/>
      <c r="K105" s="420"/>
      <c r="L105" s="238"/>
    </row>
    <row r="106" spans="2:14" ht="18" customHeight="1" x14ac:dyDescent="0.2">
      <c r="G106" s="132" t="s">
        <v>200</v>
      </c>
      <c r="H106" s="130"/>
      <c r="I106" s="37"/>
      <c r="J106" s="54"/>
      <c r="K106" s="421">
        <f ca="1">SUMIF($C$71:$D$80,$B$131,$L$71:$L$80)-SUMIF($C$71:$D$80,$B$131,$Q$71:$Q$80)</f>
        <v>0</v>
      </c>
      <c r="L106" s="207" t="str">
        <f ca="1">IF($K$115=0,"?",$K106/$K$115)</f>
        <v>?</v>
      </c>
    </row>
    <row r="107" spans="2:14" ht="18" customHeight="1" x14ac:dyDescent="0.2">
      <c r="G107" s="132" t="s">
        <v>201</v>
      </c>
      <c r="H107" s="37"/>
      <c r="I107" s="37"/>
      <c r="J107" s="54"/>
      <c r="K107" s="415">
        <f ca="1">SUMIF($C$71:$D$80,$B$132,$L$71:$L$80)-SUMIF($C$71:$D$80,$B$132,$Q$71:$Q$80)</f>
        <v>0</v>
      </c>
      <c r="L107" s="207" t="str">
        <f ca="1">IF($K$115=0,"?",$K107/$K$115)</f>
        <v>?</v>
      </c>
    </row>
    <row r="108" spans="2:14" ht="18" customHeight="1" x14ac:dyDescent="0.2">
      <c r="G108" s="132" t="s">
        <v>202</v>
      </c>
      <c r="H108" s="37"/>
      <c r="I108" s="37"/>
      <c r="J108" s="54"/>
      <c r="K108" s="415">
        <f ca="1">SUMIF($C$71:$D$80,$B$133,$L$71:$L$80)-SUMIF($C$71:$D$80,$B$133,$Q$71:$Q$80)</f>
        <v>0</v>
      </c>
      <c r="L108" s="207" t="str">
        <f ca="1">IF($K$115=0,"?",$K108/$K$115)</f>
        <v>?</v>
      </c>
    </row>
    <row r="109" spans="2:14" ht="18" customHeight="1" thickBot="1" x14ac:dyDescent="0.25">
      <c r="G109" s="418" t="s">
        <v>118</v>
      </c>
      <c r="H109" s="419"/>
      <c r="I109" s="419"/>
      <c r="J109" s="424"/>
      <c r="K109" s="423">
        <f ca="1">SUM($K$106:$K$108)</f>
        <v>0</v>
      </c>
      <c r="L109" s="374">
        <f ca="1">SUM(L106:L108)</f>
        <v>0</v>
      </c>
    </row>
    <row r="110" spans="2:14" ht="18" customHeight="1" x14ac:dyDescent="0.2">
      <c r="G110" s="448" t="s">
        <v>220</v>
      </c>
      <c r="H110" s="449"/>
      <c r="I110" s="449"/>
      <c r="J110" s="449"/>
      <c r="K110" s="450"/>
      <c r="L110" s="456"/>
    </row>
    <row r="111" spans="2:14" ht="18" customHeight="1" x14ac:dyDescent="0.2">
      <c r="G111" s="132" t="s">
        <v>203</v>
      </c>
      <c r="H111" s="130"/>
      <c r="I111" s="131"/>
      <c r="J111" s="54"/>
      <c r="K111" s="421">
        <f>$Q$81</f>
        <v>0</v>
      </c>
      <c r="L111" s="207" t="str">
        <f ca="1">IF($K$115=0,"?",$K111/$K$115)</f>
        <v>?</v>
      </c>
    </row>
    <row r="112" spans="2:14" ht="18" customHeight="1" x14ac:dyDescent="0.2">
      <c r="G112" s="132" t="s">
        <v>205</v>
      </c>
      <c r="H112" s="130"/>
      <c r="I112" s="131"/>
      <c r="J112" s="54"/>
      <c r="K112" s="421">
        <f ca="1">SUMIF($C$40:$E$49,$D$128,$P$40:$P$49)*480/10000</f>
        <v>0</v>
      </c>
      <c r="L112" s="207" t="str">
        <f ca="1">IF($K$115=0,"?",$K112/$K$115)</f>
        <v>?</v>
      </c>
    </row>
    <row r="113" spans="2:17" ht="18" customHeight="1" x14ac:dyDescent="0.2">
      <c r="G113" s="132" t="s">
        <v>204</v>
      </c>
      <c r="H113" s="130"/>
      <c r="I113" s="131"/>
      <c r="J113" s="54"/>
      <c r="K113" s="421" t="str">
        <f>IF(E87="?","?",$E$103*480/10000)</f>
        <v>?</v>
      </c>
      <c r="L113" s="207" t="str">
        <f>IF($K$113="?","?",$K113/$K$115)</f>
        <v>?</v>
      </c>
    </row>
    <row r="114" spans="2:17" ht="18" customHeight="1" thickBot="1" x14ac:dyDescent="0.25">
      <c r="G114" s="451" t="s">
        <v>118</v>
      </c>
      <c r="H114" s="452"/>
      <c r="I114" s="452"/>
      <c r="J114" s="453"/>
      <c r="K114" s="454">
        <f ca="1">SUM($K$111:$K$113)</f>
        <v>0</v>
      </c>
      <c r="L114" s="455">
        <f ca="1">SUM(L111:L113)</f>
        <v>0</v>
      </c>
    </row>
    <row r="115" spans="2:17" ht="18" customHeight="1" thickBot="1" x14ac:dyDescent="0.25">
      <c r="G115" s="157" t="s">
        <v>74</v>
      </c>
      <c r="H115" s="158"/>
      <c r="I115" s="158"/>
      <c r="J115" s="158"/>
      <c r="K115" s="206">
        <f ca="1">$K$109+$K$114</f>
        <v>0</v>
      </c>
      <c r="L115" s="208">
        <f ca="1">$L$109+$L$114</f>
        <v>0</v>
      </c>
    </row>
    <row r="119" spans="2:17" ht="15" customHeight="1" x14ac:dyDescent="0.2">
      <c r="B119" s="393" t="s">
        <v>228</v>
      </c>
      <c r="C119" s="394"/>
      <c r="D119" s="394"/>
      <c r="E119" s="394"/>
      <c r="F119" s="394"/>
      <c r="G119" s="394"/>
      <c r="H119" s="394"/>
      <c r="I119" s="394"/>
      <c r="J119" s="394"/>
      <c r="K119" s="394"/>
      <c r="L119" s="394"/>
      <c r="M119" s="394"/>
      <c r="N119" s="394"/>
      <c r="O119" s="394"/>
      <c r="P119" s="394"/>
      <c r="Q119" s="394"/>
    </row>
    <row r="120" spans="2:17" ht="15" customHeight="1" x14ac:dyDescent="0.2">
      <c r="B120" s="395" t="s">
        <v>176</v>
      </c>
      <c r="C120" s="394"/>
      <c r="D120" s="394"/>
      <c r="E120" s="394"/>
      <c r="F120" s="394"/>
      <c r="G120" s="394"/>
      <c r="H120" s="394"/>
      <c r="I120" s="394"/>
      <c r="J120" s="394"/>
      <c r="K120" s="394"/>
      <c r="L120" s="394"/>
      <c r="M120" s="394"/>
      <c r="N120" s="394"/>
      <c r="O120" s="394"/>
      <c r="P120" s="394"/>
      <c r="Q120" s="394"/>
    </row>
    <row r="122" spans="2:17" ht="18" hidden="1" customHeight="1" x14ac:dyDescent="0.2">
      <c r="B122" s="331" t="s">
        <v>92</v>
      </c>
      <c r="C122" s="332"/>
      <c r="D122" s="331"/>
      <c r="E122" s="333"/>
      <c r="F122" s="332"/>
      <c r="G122" s="332"/>
      <c r="H122" s="332"/>
      <c r="I122" s="332"/>
      <c r="J122" s="332"/>
      <c r="K122" s="332"/>
      <c r="L122" s="332"/>
      <c r="M122" s="332"/>
      <c r="N122" s="332"/>
      <c r="O122" s="332"/>
      <c r="P122" s="332"/>
      <c r="Q122" s="332"/>
    </row>
    <row r="123" spans="2:17" ht="18" hidden="1" customHeight="1" thickBot="1" x14ac:dyDescent="0.25"/>
    <row r="124" spans="2:17" ht="81" hidden="1" thickBot="1" x14ac:dyDescent="0.25">
      <c r="B124" s="143"/>
      <c r="C124" s="39"/>
      <c r="D124" s="107" t="s">
        <v>14</v>
      </c>
      <c r="E124" s="277" t="s">
        <v>69</v>
      </c>
    </row>
    <row r="125" spans="2:17" ht="18" hidden="1" customHeight="1" x14ac:dyDescent="0.2">
      <c r="B125" s="281"/>
      <c r="C125" s="36"/>
      <c r="D125" s="282" t="s">
        <v>131</v>
      </c>
      <c r="E125" s="278" t="s">
        <v>33</v>
      </c>
    </row>
    <row r="126" spans="2:17" ht="18" hidden="1" customHeight="1" x14ac:dyDescent="0.2">
      <c r="B126" s="369"/>
      <c r="C126" s="203"/>
      <c r="D126" s="370" t="s">
        <v>165</v>
      </c>
      <c r="E126" s="371" t="s">
        <v>33</v>
      </c>
    </row>
    <row r="127" spans="2:17" ht="18" hidden="1" customHeight="1" x14ac:dyDescent="0.2">
      <c r="B127" s="283"/>
      <c r="C127" s="37"/>
      <c r="D127" s="284" t="s">
        <v>132</v>
      </c>
      <c r="E127" s="279" t="s">
        <v>34</v>
      </c>
    </row>
    <row r="128" spans="2:17" ht="18" hidden="1" customHeight="1" thickBot="1" x14ac:dyDescent="0.25">
      <c r="B128" s="285"/>
      <c r="C128" s="46"/>
      <c r="D128" s="286" t="s">
        <v>65</v>
      </c>
      <c r="E128" s="280" t="s">
        <v>34</v>
      </c>
    </row>
    <row r="129" spans="2:23" ht="18" hidden="1" customHeight="1" thickBot="1" x14ac:dyDescent="0.25"/>
    <row r="130" spans="2:23" ht="18" hidden="1" customHeight="1" thickBot="1" x14ac:dyDescent="0.25">
      <c r="B130" s="108" t="s">
        <v>24</v>
      </c>
      <c r="C130" s="288"/>
      <c r="D130" s="289"/>
      <c r="F130" s="112" t="s">
        <v>13</v>
      </c>
      <c r="G130" s="107"/>
      <c r="I130" s="108" t="s">
        <v>86</v>
      </c>
      <c r="J130" s="34"/>
    </row>
    <row r="131" spans="2:23" ht="18" hidden="1" customHeight="1" x14ac:dyDescent="0.2">
      <c r="B131" s="290" t="s">
        <v>9</v>
      </c>
      <c r="D131" s="291"/>
      <c r="F131" s="105" t="s">
        <v>0</v>
      </c>
      <c r="G131" s="106"/>
      <c r="I131" s="105" t="s">
        <v>124</v>
      </c>
      <c r="J131" s="106"/>
    </row>
    <row r="132" spans="2:23" ht="18" hidden="1" customHeight="1" x14ac:dyDescent="0.2">
      <c r="B132" s="103" t="s">
        <v>28</v>
      </c>
      <c r="C132" s="37"/>
      <c r="D132" s="54"/>
      <c r="F132" s="103" t="s">
        <v>53</v>
      </c>
      <c r="G132" s="54"/>
      <c r="I132" s="103" t="s">
        <v>29</v>
      </c>
      <c r="J132" s="54"/>
    </row>
    <row r="133" spans="2:23" ht="18" hidden="1" customHeight="1" thickBot="1" x14ac:dyDescent="0.25">
      <c r="B133" s="189" t="s">
        <v>32</v>
      </c>
      <c r="C133" s="88"/>
      <c r="D133" s="287"/>
      <c r="F133" s="104" t="s">
        <v>1</v>
      </c>
      <c r="G133" s="55"/>
      <c r="I133" s="104" t="s">
        <v>30</v>
      </c>
      <c r="J133" s="55"/>
    </row>
    <row r="134" spans="2:23" ht="18" hidden="1" customHeight="1" x14ac:dyDescent="0.2"/>
    <row r="135" spans="2:23" ht="18" hidden="1" customHeight="1" x14ac:dyDescent="0.2">
      <c r="B135" s="331" t="s">
        <v>177</v>
      </c>
      <c r="C135" s="332"/>
      <c r="D135" s="331"/>
      <c r="E135" s="333"/>
      <c r="F135" s="332"/>
      <c r="G135" s="332"/>
      <c r="H135" s="332"/>
      <c r="I135" s="332"/>
      <c r="J135" s="332"/>
      <c r="K135" s="332"/>
      <c r="L135" s="332"/>
      <c r="M135" s="332"/>
      <c r="N135" s="332"/>
      <c r="O135" s="332"/>
      <c r="P135" s="332"/>
      <c r="Q135" s="332"/>
    </row>
    <row r="136" spans="2:23" ht="18" customHeight="1" x14ac:dyDescent="0.2">
      <c r="W136" s="97"/>
    </row>
  </sheetData>
  <sheetProtection algorithmName="SHA-512" hashValue="owo/5wcoSjieteor7LU3tpL8E7ky2ZT4QaSXWYw3al1awPxvENes/AJdFVyqRKaR5urp2+UdeaNsh1Z9/hls8g==" saltValue="uVxyZvqOA6t3nxNpcCPonQ==" spinCount="100000" sheet="1" objects="1" scenarios="1"/>
  <protectedRanges>
    <protectedRange sqref="F71:F80" name="Plage8"/>
    <protectedRange sqref="C71:D80" name="Plage7"/>
    <protectedRange sqref="E62" name="Plage6"/>
    <protectedRange sqref="G53:N53" name="Plage5"/>
    <protectedRange sqref="B40:N49" name="Plage4"/>
    <protectedRange sqref="E23:F23" name="Plage3"/>
    <protectedRange sqref="E20:F21" name="Plage2"/>
    <protectedRange sqref="E17:I18" name="Plage1"/>
    <protectedRange sqref="O71:O80" name="Plage9"/>
  </protectedRanges>
  <mergeCells count="76">
    <mergeCell ref="K89:K90"/>
    <mergeCell ref="L89:L90"/>
    <mergeCell ref="J66:J68"/>
    <mergeCell ref="Q91:Q95"/>
    <mergeCell ref="B103:D104"/>
    <mergeCell ref="E103:E104"/>
    <mergeCell ref="B100:D101"/>
    <mergeCell ref="E100:E101"/>
    <mergeCell ref="B92:D93"/>
    <mergeCell ref="E92:E93"/>
    <mergeCell ref="B96:D97"/>
    <mergeCell ref="E96:E97"/>
    <mergeCell ref="B98:D99"/>
    <mergeCell ref="E98:E99"/>
    <mergeCell ref="N91:P95"/>
    <mergeCell ref="C65:D70"/>
    <mergeCell ref="B30:B31"/>
    <mergeCell ref="C80:D80"/>
    <mergeCell ref="C81:D81"/>
    <mergeCell ref="C74:D74"/>
    <mergeCell ref="C75:D75"/>
    <mergeCell ref="C77:D77"/>
    <mergeCell ref="C78:D78"/>
    <mergeCell ref="C79:D79"/>
    <mergeCell ref="C76:D76"/>
    <mergeCell ref="C71:D71"/>
    <mergeCell ref="C72:D72"/>
    <mergeCell ref="C73:D73"/>
    <mergeCell ref="B64:B70"/>
    <mergeCell ref="C46:E46"/>
    <mergeCell ref="C47:E47"/>
    <mergeCell ref="F65:F69"/>
    <mergeCell ref="K65:K69"/>
    <mergeCell ref="L65:L69"/>
    <mergeCell ref="M65:M69"/>
    <mergeCell ref="B59:B60"/>
    <mergeCell ref="O65:O69"/>
    <mergeCell ref="G65:G69"/>
    <mergeCell ref="H65:H69"/>
    <mergeCell ref="I65:I69"/>
    <mergeCell ref="N65:N69"/>
    <mergeCell ref="O34:O38"/>
    <mergeCell ref="C45:E45"/>
    <mergeCell ref="C48:E48"/>
    <mergeCell ref="C49:E49"/>
    <mergeCell ref="C40:E40"/>
    <mergeCell ref="C41:E41"/>
    <mergeCell ref="C42:E42"/>
    <mergeCell ref="C43:E43"/>
    <mergeCell ref="C44:E44"/>
    <mergeCell ref="J34:J37"/>
    <mergeCell ref="K34:K37"/>
    <mergeCell ref="L34:L37"/>
    <mergeCell ref="M34:M37"/>
    <mergeCell ref="N34:N37"/>
    <mergeCell ref="D9:I9"/>
    <mergeCell ref="D10:I10"/>
    <mergeCell ref="D11:I11"/>
    <mergeCell ref="E17:I17"/>
    <mergeCell ref="E18:I18"/>
    <mergeCell ref="P65:P70"/>
    <mergeCell ref="Q65:Q69"/>
    <mergeCell ref="P34:P38"/>
    <mergeCell ref="E20:F20"/>
    <mergeCell ref="P21:Q21"/>
    <mergeCell ref="P23:Q23"/>
    <mergeCell ref="B50:E50"/>
    <mergeCell ref="Q34:Q38"/>
    <mergeCell ref="E21:F21"/>
    <mergeCell ref="E23:F23"/>
    <mergeCell ref="B33:B39"/>
    <mergeCell ref="C34:E39"/>
    <mergeCell ref="F34:F37"/>
    <mergeCell ref="G34:G37"/>
    <mergeCell ref="H34:I36"/>
    <mergeCell ref="E65:E69"/>
  </mergeCells>
  <conditionalFormatting sqref="B83">
    <cfRule type="expression" dxfId="30" priority="3">
      <formula>IF(MAX($J$71:$J$80)&gt;100,0,1)</formula>
    </cfRule>
  </conditionalFormatting>
  <conditionalFormatting sqref="B71:P80">
    <cfRule type="expression" dxfId="29" priority="61">
      <formula>IF($B40="",1,0)</formula>
    </cfRule>
  </conditionalFormatting>
  <conditionalFormatting sqref="C71:D80">
    <cfRule type="expression" dxfId="28" priority="650">
      <formula>IF($C40=$D$128,1,0)</formula>
    </cfRule>
    <cfRule type="expression" dxfId="27" priority="649">
      <formula>IF(AND($C40=$D$126,OR($C71=$B$131,$C71=$B$133)),1,0)</formula>
    </cfRule>
  </conditionalFormatting>
  <conditionalFormatting sqref="C40:E49">
    <cfRule type="cellIs" dxfId="26" priority="127" operator="equal">
      <formula>$D$128</formula>
    </cfRule>
  </conditionalFormatting>
  <conditionalFormatting sqref="C83:L83">
    <cfRule type="expression" dxfId="25" priority="2">
      <formula>IF(MAX($J$71:$J$80)&gt;100,0,1)</formula>
    </cfRule>
  </conditionalFormatting>
  <conditionalFormatting sqref="C40:Q49">
    <cfRule type="expression" dxfId="24" priority="93">
      <formula>IF($B40="",1,0)</formula>
    </cfRule>
  </conditionalFormatting>
  <conditionalFormatting sqref="C71:Q80">
    <cfRule type="cellIs" dxfId="23" priority="57" operator="equal">
      <formula>"?"</formula>
    </cfRule>
  </conditionalFormatting>
  <conditionalFormatting sqref="E71:E80">
    <cfRule type="expression" dxfId="22" priority="648">
      <formula>IF(OR($C71=$B$131,$C71=$B$133),1,0)</formula>
    </cfRule>
  </conditionalFormatting>
  <conditionalFormatting sqref="E87">
    <cfRule type="cellIs" dxfId="21" priority="56" operator="equal">
      <formula>"?"</formula>
    </cfRule>
  </conditionalFormatting>
  <conditionalFormatting sqref="E91">
    <cfRule type="dataBar" priority="50">
      <dataBar>
        <cfvo type="min"/>
        <cfvo type="num" val="$E$105"/>
        <color rgb="FF7FC6A4"/>
      </dataBar>
      <extLst>
        <ext xmlns:x14="http://schemas.microsoft.com/office/spreadsheetml/2009/9/main" uri="{B025F937-C7B1-47D3-B67F-A62EFF666E3E}">
          <x14:id>{3D7D5891-A308-4A31-9E18-D381CE73ADA0}</x14:id>
        </ext>
      </extLst>
    </cfRule>
  </conditionalFormatting>
  <conditionalFormatting sqref="E92">
    <cfRule type="dataBar" priority="51">
      <dataBar>
        <cfvo type="min"/>
        <cfvo type="num" val="$E$105"/>
        <color rgb="FFB1D6A9"/>
      </dataBar>
      <extLst>
        <ext xmlns:x14="http://schemas.microsoft.com/office/spreadsheetml/2009/9/main" uri="{B025F937-C7B1-47D3-B67F-A62EFF666E3E}">
          <x14:id>{1F3D1A66-134E-4E2B-A77E-6CBC3A257984}</x14:id>
        </ext>
      </extLst>
    </cfRule>
  </conditionalFormatting>
  <conditionalFormatting sqref="E94">
    <cfRule type="dataBar" priority="54">
      <dataBar>
        <cfvo type="min"/>
        <cfvo type="num" val="$E$105"/>
        <color rgb="FFFCBB79"/>
      </dataBar>
      <extLst>
        <ext xmlns:x14="http://schemas.microsoft.com/office/spreadsheetml/2009/9/main" uri="{B025F937-C7B1-47D3-B67F-A62EFF666E3E}">
          <x14:id>{DE905ACD-6D3E-455C-858F-3F7ADC167BB8}</x14:id>
        </ext>
      </extLst>
    </cfRule>
  </conditionalFormatting>
  <conditionalFormatting sqref="E95">
    <cfRule type="dataBar" priority="52">
      <dataBar>
        <cfvo type="min"/>
        <cfvo type="num" val="$E$105"/>
        <color rgb="FFFCBB79"/>
      </dataBar>
      <extLst>
        <ext xmlns:x14="http://schemas.microsoft.com/office/spreadsheetml/2009/9/main" uri="{B025F937-C7B1-47D3-B67F-A62EFF666E3E}">
          <x14:id>{A77E4BCC-DAFA-4153-A83E-F350CD26813A}</x14:id>
        </ext>
      </extLst>
    </cfRule>
  </conditionalFormatting>
  <conditionalFormatting sqref="E96">
    <cfRule type="dataBar" priority="53">
      <dataBar>
        <cfvo type="min"/>
        <cfvo type="num" val="$E$105"/>
        <color rgb="FF8398A9"/>
      </dataBar>
      <extLst>
        <ext xmlns:x14="http://schemas.microsoft.com/office/spreadsheetml/2009/9/main" uri="{B025F937-C7B1-47D3-B67F-A62EFF666E3E}">
          <x14:id>{883E4AB0-7A0F-4E3E-8528-5106E74B1481}</x14:id>
        </ext>
      </extLst>
    </cfRule>
  </conditionalFormatting>
  <conditionalFormatting sqref="E98">
    <cfRule type="dataBar" priority="55">
      <dataBar>
        <cfvo type="min"/>
        <cfvo type="num" val="$E$105"/>
        <color theme="0" tint="-0.249977111117893"/>
      </dataBar>
      <extLst>
        <ext xmlns:x14="http://schemas.microsoft.com/office/spreadsheetml/2009/9/main" uri="{B025F937-C7B1-47D3-B67F-A62EFF666E3E}">
          <x14:id>{0DBE86B9-4FFC-4872-A56C-2AB8007065FE}</x14:id>
        </ext>
      </extLst>
    </cfRule>
  </conditionalFormatting>
  <conditionalFormatting sqref="E100">
    <cfRule type="dataBar" priority="48">
      <dataBar>
        <cfvo type="min"/>
        <cfvo type="num" val="$E$105"/>
        <color theme="7" tint="0.39997558519241921"/>
      </dataBar>
      <extLst>
        <ext xmlns:x14="http://schemas.microsoft.com/office/spreadsheetml/2009/9/main" uri="{B025F937-C7B1-47D3-B67F-A62EFF666E3E}">
          <x14:id>{DA7B891B-13A0-4D56-AF1B-5C39525F6867}</x14:id>
        </ext>
      </extLst>
    </cfRule>
  </conditionalFormatting>
  <conditionalFormatting sqref="E103:E104">
    <cfRule type="dataBar" priority="49">
      <dataBar>
        <cfvo type="min"/>
        <cfvo type="num" val="$E$105"/>
        <color theme="0" tint="-0.249977111117893"/>
      </dataBar>
      <extLst>
        <ext xmlns:x14="http://schemas.microsoft.com/office/spreadsheetml/2009/9/main" uri="{B025F937-C7B1-47D3-B67F-A62EFF666E3E}">
          <x14:id>{81620B18-308F-41DD-A923-280BFB3B1CB0}</x14:id>
        </ext>
      </extLst>
    </cfRule>
  </conditionalFormatting>
  <conditionalFormatting sqref="E71:F80">
    <cfRule type="expression" dxfId="20" priority="651">
      <formula>IF(OR($C71=$B$132,$C40=$D$128),1,0)</formula>
    </cfRule>
  </conditionalFormatting>
  <conditionalFormatting sqref="F40:F49">
    <cfRule type="expression" dxfId="19" priority="646">
      <formula>IF($C40=$D$128,1,0)</formula>
    </cfRule>
  </conditionalFormatting>
  <conditionalFormatting sqref="F71:F80">
    <cfRule type="expression" dxfId="18" priority="647">
      <formula>IF(OR($C71=$B$131,$C71=$B$133),1,0)</formula>
    </cfRule>
  </conditionalFormatting>
  <conditionalFormatting sqref="K98">
    <cfRule type="cellIs" dxfId="17" priority="26" operator="equal">
      <formula>"?"</formula>
    </cfRule>
  </conditionalFormatting>
  <conditionalFormatting sqref="K113">
    <cfRule type="cellIs" dxfId="16" priority="44" operator="equal">
      <formula>"?"</formula>
    </cfRule>
  </conditionalFormatting>
  <conditionalFormatting sqref="L92:L93">
    <cfRule type="cellIs" dxfId="15" priority="28" operator="equal">
      <formula>"?"</formula>
    </cfRule>
  </conditionalFormatting>
  <conditionalFormatting sqref="L95:L98">
    <cfRule type="cellIs" dxfId="14" priority="7" operator="equal">
      <formula>"?"</formula>
    </cfRule>
  </conditionalFormatting>
  <conditionalFormatting sqref="L106:L108">
    <cfRule type="cellIs" dxfId="13" priority="47" operator="equal">
      <formula>"?"</formula>
    </cfRule>
  </conditionalFormatting>
  <conditionalFormatting sqref="L110:L113">
    <cfRule type="cellIs" dxfId="12" priority="5" operator="equal">
      <formula>"?"</formula>
    </cfRule>
  </conditionalFormatting>
  <conditionalFormatting sqref="O71:O80">
    <cfRule type="expression" dxfId="11" priority="652">
      <formula>IF($C40=$D$128,1,0)</formula>
    </cfRule>
  </conditionalFormatting>
  <conditionalFormatting sqref="P71:P80">
    <cfRule type="cellIs" dxfId="10" priority="59" operator="equal">
      <formula>"À justifier**"</formula>
    </cfRule>
    <cfRule type="cellIs" dxfId="9" priority="62" operator="equal">
      <formula>1</formula>
    </cfRule>
    <cfRule type="cellIs" dxfId="8" priority="63" operator="between">
      <formula>0.8</formula>
      <formula>1</formula>
    </cfRule>
    <cfRule type="cellIs" dxfId="7" priority="64" operator="between">
      <formula>0.6</formula>
      <formula>0.8</formula>
    </cfRule>
    <cfRule type="cellIs" dxfId="6" priority="65" operator="lessThanOrEqual">
      <formula>0.6</formula>
    </cfRule>
  </conditionalFormatting>
  <conditionalFormatting sqref="Q71:Q80">
    <cfRule type="expression" dxfId="5" priority="58">
      <formula>IF($B40="",1,0)</formula>
    </cfRule>
  </conditionalFormatting>
  <conditionalFormatting sqref="Q91">
    <cfRule type="cellIs" dxfId="4" priority="33" operator="equal">
      <formula>"?"</formula>
    </cfRule>
    <cfRule type="cellIs" dxfId="3" priority="34" operator="between">
      <formula>0.8</formula>
      <formula>1</formula>
    </cfRule>
    <cfRule type="cellIs" dxfId="2" priority="36" operator="lessThanOrEqual">
      <formula>0.6</formula>
    </cfRule>
    <cfRule type="cellIs" dxfId="1" priority="35" operator="between">
      <formula>0.6</formula>
      <formula>0.8</formula>
    </cfRule>
    <cfRule type="cellIs" dxfId="0" priority="34" operator="greaterThanOrEqual">
      <formula>1</formula>
    </cfRule>
  </conditionalFormatting>
  <dataValidations disablePrompts="1" count="4">
    <dataValidation type="list" allowBlank="1" showInputMessage="1" showErrorMessage="1" sqref="E20:F20" xr:uid="{6DE42410-C5A3-4240-BAED-F7EDB675B16A}">
      <formula1>$F$131:$F$133</formula1>
    </dataValidation>
    <dataValidation type="list" allowBlank="1" showInputMessage="1" showErrorMessage="1" sqref="E21:F21" xr:uid="{7FE87D63-B284-45BD-8B1B-11C531121FA7}">
      <formula1>$I$131:$I$133</formula1>
    </dataValidation>
    <dataValidation type="list" allowBlank="1" showInputMessage="1" showErrorMessage="1" sqref="C71:D80" xr:uid="{DA955916-34BC-48CC-B2A2-440D9C2A0A67}">
      <formula1>$B$131:$B$133</formula1>
    </dataValidation>
    <dataValidation type="list" allowBlank="1" showInputMessage="1" showErrorMessage="1" sqref="C40:E49" xr:uid="{87DAE557-3E99-4404-8BB4-AE89B1D17174}">
      <formula1>$D$125:$D$128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D7D5891-A308-4A31-9E18-D381CE73ADA0}">
            <x14:dataBar minLength="0" maxLength="100" gradient="0">
              <x14:cfvo type="autoMin"/>
              <x14:cfvo type="num">
                <xm:f>$E$105</xm:f>
              </x14:cfvo>
              <x14:negativeFillColor rgb="FFFF0000"/>
              <x14:axisColor rgb="FF000000"/>
            </x14:dataBar>
          </x14:cfRule>
          <xm:sqref>E91</xm:sqref>
        </x14:conditionalFormatting>
        <x14:conditionalFormatting xmlns:xm="http://schemas.microsoft.com/office/excel/2006/main">
          <x14:cfRule type="dataBar" id="{1F3D1A66-134E-4E2B-A77E-6CBC3A257984}">
            <x14:dataBar minLength="0" maxLength="100" gradient="0">
              <x14:cfvo type="autoMin"/>
              <x14:cfvo type="num">
                <xm:f>$E$105</xm:f>
              </x14:cfvo>
              <x14:negativeFillColor rgb="FFFF0000"/>
              <x14:axisColor rgb="FF000000"/>
            </x14:dataBar>
          </x14:cfRule>
          <xm:sqref>E92</xm:sqref>
        </x14:conditionalFormatting>
        <x14:conditionalFormatting xmlns:xm="http://schemas.microsoft.com/office/excel/2006/main">
          <x14:cfRule type="dataBar" id="{DE905ACD-6D3E-455C-858F-3F7ADC167BB8}">
            <x14:dataBar minLength="0" maxLength="100" gradient="0">
              <x14:cfvo type="autoMin"/>
              <x14:cfvo type="num">
                <xm:f>$E$105</xm:f>
              </x14:cfvo>
              <x14:negativeFillColor rgb="FFFF0000"/>
              <x14:axisColor rgb="FF000000"/>
            </x14:dataBar>
          </x14:cfRule>
          <xm:sqref>E94</xm:sqref>
        </x14:conditionalFormatting>
        <x14:conditionalFormatting xmlns:xm="http://schemas.microsoft.com/office/excel/2006/main">
          <x14:cfRule type="dataBar" id="{A77E4BCC-DAFA-4153-A83E-F350CD26813A}">
            <x14:dataBar minLength="0" maxLength="100" gradient="0">
              <x14:cfvo type="autoMin"/>
              <x14:cfvo type="num">
                <xm:f>$E$105</xm:f>
              </x14:cfvo>
              <x14:negativeFillColor rgb="FFFF0000"/>
              <x14:axisColor rgb="FF000000"/>
            </x14:dataBar>
          </x14:cfRule>
          <xm:sqref>E95</xm:sqref>
        </x14:conditionalFormatting>
        <x14:conditionalFormatting xmlns:xm="http://schemas.microsoft.com/office/excel/2006/main">
          <x14:cfRule type="dataBar" id="{883E4AB0-7A0F-4E3E-8528-5106E74B1481}">
            <x14:dataBar minLength="0" maxLength="100" gradient="0">
              <x14:cfvo type="autoMin"/>
              <x14:cfvo type="num">
                <xm:f>$E$105</xm:f>
              </x14:cfvo>
              <x14:negativeFillColor rgb="FFFF0000"/>
              <x14:axisColor rgb="FF000000"/>
            </x14:dataBar>
          </x14:cfRule>
          <xm:sqref>E96</xm:sqref>
        </x14:conditionalFormatting>
        <x14:conditionalFormatting xmlns:xm="http://schemas.microsoft.com/office/excel/2006/main">
          <x14:cfRule type="dataBar" id="{0DBE86B9-4FFC-4872-A56C-2AB8007065FE}">
            <x14:dataBar minLength="0" maxLength="100" gradient="0">
              <x14:cfvo type="autoMin"/>
              <x14:cfvo type="num">
                <xm:f>$E$105</xm:f>
              </x14:cfvo>
              <x14:negativeFillColor rgb="FFFF0000"/>
              <x14:axisColor rgb="FF000000"/>
            </x14:dataBar>
          </x14:cfRule>
          <xm:sqref>E98</xm:sqref>
        </x14:conditionalFormatting>
        <x14:conditionalFormatting xmlns:xm="http://schemas.microsoft.com/office/excel/2006/main">
          <x14:cfRule type="dataBar" id="{DA7B891B-13A0-4D56-AF1B-5C39525F6867}">
            <x14:dataBar minLength="0" maxLength="100" gradient="0">
              <x14:cfvo type="autoMin"/>
              <x14:cfvo type="num">
                <xm:f>$E$105</xm:f>
              </x14:cfvo>
              <x14:negativeFillColor rgb="FFFF0000"/>
              <x14:axisColor rgb="FF000000"/>
            </x14:dataBar>
          </x14:cfRule>
          <xm:sqref>E100</xm:sqref>
        </x14:conditionalFormatting>
        <x14:conditionalFormatting xmlns:xm="http://schemas.microsoft.com/office/excel/2006/main">
          <x14:cfRule type="dataBar" id="{81620B18-308F-41DD-A923-280BFB3B1CB0}">
            <x14:dataBar minLength="0" maxLength="100" gradient="0">
              <x14:cfvo type="autoMin"/>
              <x14:cfvo type="num">
                <xm:f>$E$105</xm:f>
              </x14:cfvo>
              <x14:negativeFillColor rgb="FFFF0000"/>
              <x14:axisColor rgb="FF000000"/>
            </x14:dataBar>
          </x14:cfRule>
          <xm:sqref>E103:E104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424BF5A-BED2-4F77-8F8E-EA34B6CA0C6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Pluies courantes</vt:lpstr>
      <vt:lpstr>Pluie décennale</vt:lpstr>
    </vt:vector>
  </TitlesOfParts>
  <Company>Mairie de Paris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DOIZELET Cyril</dc:creator>
  <cp:lastModifiedBy>Tulet, Anne-Laure</cp:lastModifiedBy>
  <dcterms:created xsi:type="dcterms:W3CDTF">2024-10-30T13:15:55Z</dcterms:created>
  <dcterms:modified xsi:type="dcterms:W3CDTF">2026-03-16T14:56:38Z</dcterms:modified>
</cp:coreProperties>
</file>