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K:\DEI\0504_PARISPLUIE\03_REVISION ZONAGE PLUVIAL\03_Projet documents révisés\Notes de calculs\"/>
    </mc:Choice>
  </mc:AlternateContent>
  <xr:revisionPtr revIDLastSave="0" documentId="8_{955AED23-E341-4AEA-9A8B-8F0CB4CDB544}" xr6:coauthVersionLast="47" xr6:coauthVersionMax="47" xr10:uidLastSave="{00000000-0000-0000-0000-000000000000}"/>
  <bookViews>
    <workbookView xWindow="0" yWindow="0" windowWidth="28800" windowHeight="11505" tabRatio="609" xr2:uid="{260ED3DA-8798-450A-B702-B03F540E85DF}"/>
  </bookViews>
  <sheets>
    <sheet name="PLUIES COURANTES" sheetId="1" r:id="rId1"/>
    <sheet name="PLUIE DÉCENNALE" sheetId="3" r:id="rId2"/>
  </sheets>
  <definedNames>
    <definedName name="_xlnm._FilterDatabase" localSheetId="1" hidden="1">'PLUIE DÉCENNALE'!#REF!</definedName>
    <definedName name="_xlnm._FilterDatabase" localSheetId="0" hidden="1">'PLUIES COURANTES'!#REF!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7" i="3" l="1"/>
  <c r="H98" i="1"/>
  <c r="G101" i="3" l="1"/>
  <c r="G99" i="3"/>
  <c r="G87" i="3"/>
  <c r="P81" i="3" l="1"/>
  <c r="Q41" i="3" l="1"/>
  <c r="Q42" i="3"/>
  <c r="M98" i="3" s="1"/>
  <c r="N98" i="3" s="1"/>
  <c r="Q43" i="3"/>
  <c r="R43" i="3" s="1"/>
  <c r="Q44" i="3"/>
  <c r="R44" i="3" s="1"/>
  <c r="Q45" i="3"/>
  <c r="R45" i="3" s="1"/>
  <c r="Q46" i="3"/>
  <c r="R46" i="3" s="1"/>
  <c r="Q47" i="3"/>
  <c r="R47" i="3" s="1"/>
  <c r="Q48" i="3"/>
  <c r="R48" i="3" s="1"/>
  <c r="Q49" i="3"/>
  <c r="Q40" i="3"/>
  <c r="I71" i="3" s="1"/>
  <c r="K141" i="1"/>
  <c r="K142" i="1"/>
  <c r="K143" i="1"/>
  <c r="K144" i="1"/>
  <c r="K145" i="1"/>
  <c r="K146" i="1"/>
  <c r="K147" i="1"/>
  <c r="K148" i="1"/>
  <c r="K149" i="1"/>
  <c r="K140" i="1"/>
  <c r="J141" i="1"/>
  <c r="J142" i="1"/>
  <c r="J143" i="1"/>
  <c r="J144" i="1"/>
  <c r="J145" i="1"/>
  <c r="J146" i="1"/>
  <c r="J147" i="1"/>
  <c r="J148" i="1"/>
  <c r="J149" i="1"/>
  <c r="J140" i="1"/>
  <c r="F140" i="1"/>
  <c r="I72" i="3" l="1"/>
  <c r="S49" i="3"/>
  <c r="I80" i="3"/>
  <c r="J80" i="3"/>
  <c r="H80" i="3"/>
  <c r="K80" i="3"/>
  <c r="L80" i="3" s="1"/>
  <c r="I73" i="3"/>
  <c r="I77" i="3"/>
  <c r="H79" i="3"/>
  <c r="J79" i="3"/>
  <c r="K79" i="3"/>
  <c r="L79" i="3" s="1"/>
  <c r="I79" i="3"/>
  <c r="I78" i="3"/>
  <c r="I76" i="3"/>
  <c r="R42" i="3"/>
  <c r="M113" i="3" s="1"/>
  <c r="I74" i="3"/>
  <c r="I75" i="3"/>
  <c r="R41" i="3"/>
  <c r="R40" i="3"/>
  <c r="S45" i="3"/>
  <c r="S46" i="3"/>
  <c r="S48" i="3"/>
  <c r="S47" i="3"/>
  <c r="K150" i="1"/>
  <c r="G110" i="1" s="1"/>
  <c r="J150" i="1"/>
  <c r="Q40" i="1"/>
  <c r="R41" i="1"/>
  <c r="D73" i="1" s="1"/>
  <c r="R42" i="1"/>
  <c r="D74" i="1" s="1"/>
  <c r="R43" i="1"/>
  <c r="D75" i="1" s="1"/>
  <c r="R44" i="1"/>
  <c r="D76" i="1" s="1"/>
  <c r="R45" i="1"/>
  <c r="D77" i="1" s="1"/>
  <c r="R46" i="1"/>
  <c r="D78" i="1" s="1"/>
  <c r="R47" i="1"/>
  <c r="D79" i="1" s="1"/>
  <c r="R48" i="1"/>
  <c r="D80" i="1" s="1"/>
  <c r="R49" i="1"/>
  <c r="D81" i="1" s="1"/>
  <c r="R40" i="1"/>
  <c r="D72" i="1" s="1"/>
  <c r="Q41" i="1"/>
  <c r="Q42" i="1"/>
  <c r="Q43" i="1"/>
  <c r="Q44" i="1"/>
  <c r="Q45" i="1"/>
  <c r="Q46" i="1"/>
  <c r="Q47" i="1"/>
  <c r="Q48" i="1"/>
  <c r="Q49" i="1"/>
  <c r="I141" i="1"/>
  <c r="I142" i="1"/>
  <c r="I143" i="1"/>
  <c r="I144" i="1"/>
  <c r="I145" i="1"/>
  <c r="I146" i="1"/>
  <c r="I147" i="1"/>
  <c r="I148" i="1"/>
  <c r="I149" i="1"/>
  <c r="I140" i="1"/>
  <c r="H141" i="1"/>
  <c r="H142" i="1"/>
  <c r="H143" i="1"/>
  <c r="H144" i="1"/>
  <c r="H145" i="1"/>
  <c r="H146" i="1"/>
  <c r="H147" i="1"/>
  <c r="H148" i="1"/>
  <c r="H149" i="1"/>
  <c r="H140" i="1"/>
  <c r="H150" i="1" l="1"/>
  <c r="G106" i="1" s="1"/>
  <c r="I150" i="1"/>
  <c r="S43" i="1"/>
  <c r="F81" i="1"/>
  <c r="F80" i="1"/>
  <c r="S42" i="1"/>
  <c r="F79" i="1"/>
  <c r="S48" i="1"/>
  <c r="F78" i="1"/>
  <c r="S47" i="1"/>
  <c r="F77" i="1"/>
  <c r="S49" i="1"/>
  <c r="S46" i="1"/>
  <c r="F76" i="1"/>
  <c r="S45" i="1"/>
  <c r="F75" i="1"/>
  <c r="S44" i="1"/>
  <c r="F74" i="1"/>
  <c r="F72" i="1"/>
  <c r="F73" i="1"/>
  <c r="S41" i="1"/>
  <c r="S40" i="1"/>
  <c r="R50" i="1"/>
  <c r="Q50" i="1"/>
  <c r="F72" i="3"/>
  <c r="H72" i="3" s="1"/>
  <c r="J72" i="3" s="1"/>
  <c r="K72" i="3" s="1"/>
  <c r="L72" i="3" s="1"/>
  <c r="F73" i="3"/>
  <c r="H73" i="3" s="1"/>
  <c r="J73" i="3" s="1"/>
  <c r="K73" i="3" s="1"/>
  <c r="L73" i="3" s="1"/>
  <c r="F74" i="3"/>
  <c r="H74" i="3" s="1"/>
  <c r="J74" i="3" s="1"/>
  <c r="K74" i="3" s="1"/>
  <c r="L74" i="3" s="1"/>
  <c r="F75" i="3"/>
  <c r="H75" i="3" s="1"/>
  <c r="J75" i="3" s="1"/>
  <c r="K75" i="3" s="1"/>
  <c r="L75" i="3" s="1"/>
  <c r="F76" i="3"/>
  <c r="H76" i="3" s="1"/>
  <c r="J76" i="3" s="1"/>
  <c r="K76" i="3" s="1"/>
  <c r="L76" i="3" s="1"/>
  <c r="F77" i="3"/>
  <c r="H77" i="3" s="1"/>
  <c r="J77" i="3" s="1"/>
  <c r="K77" i="3" s="1"/>
  <c r="L77" i="3" s="1"/>
  <c r="F78" i="3"/>
  <c r="H78" i="3" s="1"/>
  <c r="J78" i="3" s="1"/>
  <c r="K78" i="3" s="1"/>
  <c r="L78" i="3" s="1"/>
  <c r="F79" i="3"/>
  <c r="F80" i="3"/>
  <c r="F71" i="3"/>
  <c r="H71" i="3" s="1"/>
  <c r="J71" i="3" s="1"/>
  <c r="K71" i="3" s="1"/>
  <c r="C80" i="3"/>
  <c r="C79" i="3"/>
  <c r="C78" i="3"/>
  <c r="C77" i="3"/>
  <c r="C76" i="3"/>
  <c r="C75" i="3"/>
  <c r="C74" i="3"/>
  <c r="C73" i="3"/>
  <c r="C72" i="3"/>
  <c r="C71" i="3"/>
  <c r="P50" i="3"/>
  <c r="O50" i="3"/>
  <c r="G96" i="3" s="1"/>
  <c r="N50" i="3"/>
  <c r="G95" i="3" s="1"/>
  <c r="M50" i="3"/>
  <c r="L50" i="3"/>
  <c r="K50" i="3"/>
  <c r="J50" i="3"/>
  <c r="I50" i="3"/>
  <c r="G92" i="3" s="1"/>
  <c r="R49" i="3"/>
  <c r="G98" i="1"/>
  <c r="N103" i="1" s="1"/>
  <c r="D82" i="1" l="1"/>
  <c r="K69" i="3"/>
  <c r="D83" i="3"/>
  <c r="L71" i="3"/>
  <c r="G97" i="3"/>
  <c r="G93" i="3"/>
  <c r="S43" i="3"/>
  <c r="S41" i="3"/>
  <c r="S42" i="3"/>
  <c r="S44" i="3"/>
  <c r="M75" i="3"/>
  <c r="S40" i="3"/>
  <c r="M74" i="3"/>
  <c r="M80" i="3"/>
  <c r="M76" i="3"/>
  <c r="M78" i="3"/>
  <c r="M77" i="3"/>
  <c r="F81" i="3"/>
  <c r="H50" i="3"/>
  <c r="Q50" i="3"/>
  <c r="E75" i="1"/>
  <c r="M143" i="1" s="1"/>
  <c r="E76" i="1"/>
  <c r="M144" i="1" s="1"/>
  <c r="E77" i="1"/>
  <c r="M145" i="1" s="1"/>
  <c r="E78" i="1"/>
  <c r="M146" i="1" s="1"/>
  <c r="I81" i="1"/>
  <c r="G103" i="3" l="1"/>
  <c r="R76" i="3"/>
  <c r="Q76" i="3"/>
  <c r="Q80" i="3"/>
  <c r="R80" i="3"/>
  <c r="Q78" i="3"/>
  <c r="R78" i="3"/>
  <c r="Q74" i="3"/>
  <c r="R74" i="3"/>
  <c r="Q75" i="3"/>
  <c r="R75" i="3"/>
  <c r="Q77" i="3"/>
  <c r="R77" i="3"/>
  <c r="G104" i="3"/>
  <c r="M79" i="3"/>
  <c r="M72" i="3"/>
  <c r="O80" i="3"/>
  <c r="N80" i="3"/>
  <c r="E149" i="1"/>
  <c r="K81" i="1" s="1"/>
  <c r="E74" i="1"/>
  <c r="M142" i="1" s="1"/>
  <c r="E80" i="1"/>
  <c r="M148" i="1" s="1"/>
  <c r="E79" i="1"/>
  <c r="M147" i="1" s="1"/>
  <c r="E73" i="1"/>
  <c r="M141" i="1" s="1"/>
  <c r="E72" i="1"/>
  <c r="M140" i="1" s="1"/>
  <c r="N75" i="3"/>
  <c r="O75" i="3"/>
  <c r="N76" i="3"/>
  <c r="O76" i="3"/>
  <c r="N74" i="3"/>
  <c r="O74" i="3"/>
  <c r="N77" i="3"/>
  <c r="O77" i="3"/>
  <c r="N78" i="3"/>
  <c r="O78" i="3"/>
  <c r="I81" i="3"/>
  <c r="H81" i="3"/>
  <c r="R50" i="3"/>
  <c r="S50" i="3" s="1"/>
  <c r="G141" i="1"/>
  <c r="G142" i="1"/>
  <c r="G143" i="1"/>
  <c r="G144" i="1"/>
  <c r="G145" i="1"/>
  <c r="G146" i="1"/>
  <c r="G147" i="1"/>
  <c r="G148" i="1"/>
  <c r="G149" i="1"/>
  <c r="G140" i="1"/>
  <c r="L140" i="1" s="1"/>
  <c r="F141" i="1"/>
  <c r="F142" i="1"/>
  <c r="F143" i="1"/>
  <c r="F144" i="1"/>
  <c r="F145" i="1"/>
  <c r="F146" i="1"/>
  <c r="F147" i="1"/>
  <c r="F148" i="1"/>
  <c r="F149" i="1"/>
  <c r="M99" i="3" l="1"/>
  <c r="N99" i="3" s="1"/>
  <c r="M114" i="3"/>
  <c r="Q79" i="3"/>
  <c r="R79" i="3"/>
  <c r="G106" i="3"/>
  <c r="R72" i="3"/>
  <c r="Q72" i="3"/>
  <c r="O72" i="3"/>
  <c r="N79" i="3"/>
  <c r="N72" i="3"/>
  <c r="O79" i="3"/>
  <c r="M73" i="3"/>
  <c r="L144" i="1"/>
  <c r="L149" i="1"/>
  <c r="L147" i="1"/>
  <c r="L148" i="1"/>
  <c r="L143" i="1"/>
  <c r="L142" i="1"/>
  <c r="L145" i="1"/>
  <c r="L146" i="1"/>
  <c r="L141" i="1"/>
  <c r="J81" i="3"/>
  <c r="M71" i="3"/>
  <c r="G150" i="1"/>
  <c r="G104" i="1" s="1"/>
  <c r="F150" i="1"/>
  <c r="G103" i="1" s="1"/>
  <c r="Q73" i="3" l="1"/>
  <c r="R73" i="3"/>
  <c r="Q71" i="3"/>
  <c r="R71" i="3"/>
  <c r="M107" i="3" s="1"/>
  <c r="O73" i="3"/>
  <c r="N73" i="3"/>
  <c r="G107" i="1"/>
  <c r="N71" i="3"/>
  <c r="O71" i="3"/>
  <c r="M109" i="3" l="1"/>
  <c r="M108" i="3"/>
  <c r="M95" i="3"/>
  <c r="M93" i="3"/>
  <c r="N93" i="3" s="1"/>
  <c r="R81" i="3"/>
  <c r="M112" i="3" s="1"/>
  <c r="M115" i="3" s="1"/>
  <c r="M81" i="3"/>
  <c r="G108" i="1"/>
  <c r="C73" i="1"/>
  <c r="C74" i="1"/>
  <c r="C75" i="1"/>
  <c r="C76" i="1"/>
  <c r="C77" i="1"/>
  <c r="C78" i="1"/>
  <c r="C79" i="1"/>
  <c r="C80" i="1"/>
  <c r="C81" i="1"/>
  <c r="C72" i="1"/>
  <c r="M110" i="3" l="1"/>
  <c r="M116" i="3" s="1"/>
  <c r="M94" i="3"/>
  <c r="N94" i="3" s="1"/>
  <c r="N95" i="3" s="1"/>
  <c r="H50" i="1"/>
  <c r="N113" i="3" l="1"/>
  <c r="N114" i="3"/>
  <c r="N109" i="3"/>
  <c r="N112" i="3"/>
  <c r="N107" i="3"/>
  <c r="N108" i="3"/>
  <c r="S92" i="3"/>
  <c r="M97" i="3"/>
  <c r="N97" i="3" s="1"/>
  <c r="N100" i="3" s="1"/>
  <c r="N101" i="3" s="1"/>
  <c r="E81" i="1"/>
  <c r="M149" i="1" s="1"/>
  <c r="C143" i="1"/>
  <c r="I73" i="1"/>
  <c r="I74" i="1"/>
  <c r="I75" i="1"/>
  <c r="I76" i="1"/>
  <c r="I77" i="1"/>
  <c r="I78" i="1"/>
  <c r="I79" i="1"/>
  <c r="I80" i="1"/>
  <c r="D149" i="1"/>
  <c r="O149" i="1" s="1"/>
  <c r="I72" i="1"/>
  <c r="O50" i="1"/>
  <c r="K50" i="1"/>
  <c r="N50" i="1"/>
  <c r="M100" i="3" l="1"/>
  <c r="M101" i="3" s="1"/>
  <c r="G81" i="1"/>
  <c r="N81" i="1" s="1"/>
  <c r="O81" i="1" s="1"/>
  <c r="E82" i="1"/>
  <c r="M107" i="1" s="1"/>
  <c r="D144" i="1"/>
  <c r="O144" i="1" s="1"/>
  <c r="E144" i="1"/>
  <c r="K76" i="1" s="1"/>
  <c r="D145" i="1"/>
  <c r="O145" i="1" s="1"/>
  <c r="E145" i="1"/>
  <c r="K77" i="1" s="1"/>
  <c r="D148" i="1"/>
  <c r="O148" i="1" s="1"/>
  <c r="E148" i="1"/>
  <c r="K80" i="1" s="1"/>
  <c r="D142" i="1"/>
  <c r="O142" i="1" s="1"/>
  <c r="E142" i="1"/>
  <c r="K74" i="1" s="1"/>
  <c r="D147" i="1"/>
  <c r="O147" i="1" s="1"/>
  <c r="E147" i="1"/>
  <c r="K79" i="1" s="1"/>
  <c r="D143" i="1"/>
  <c r="O143" i="1" s="1"/>
  <c r="E143" i="1"/>
  <c r="K75" i="1" s="1"/>
  <c r="D146" i="1"/>
  <c r="O146" i="1" s="1"/>
  <c r="E146" i="1"/>
  <c r="K78" i="1" s="1"/>
  <c r="D141" i="1"/>
  <c r="O141" i="1" s="1"/>
  <c r="E141" i="1"/>
  <c r="K73" i="1" s="1"/>
  <c r="D140" i="1"/>
  <c r="O140" i="1" s="1"/>
  <c r="E140" i="1"/>
  <c r="K72" i="1" s="1"/>
  <c r="M150" i="1"/>
  <c r="P81" i="1" l="1"/>
  <c r="G74" i="1"/>
  <c r="N74" i="1" s="1"/>
  <c r="G80" i="1"/>
  <c r="N80" i="1" s="1"/>
  <c r="O80" i="1" s="1"/>
  <c r="G79" i="1"/>
  <c r="N79" i="1" s="1"/>
  <c r="G73" i="1"/>
  <c r="N73" i="1" s="1"/>
  <c r="G78" i="1"/>
  <c r="N78" i="1" s="1"/>
  <c r="G75" i="1"/>
  <c r="N75" i="1" s="1"/>
  <c r="G77" i="1"/>
  <c r="N77" i="1" s="1"/>
  <c r="G76" i="1"/>
  <c r="N76" i="1" s="1"/>
  <c r="G72" i="1"/>
  <c r="N72" i="1" s="1"/>
  <c r="H81" i="1"/>
  <c r="H80" i="1"/>
  <c r="E150" i="1"/>
  <c r="D87" i="1" s="1"/>
  <c r="H74" i="1" l="1"/>
  <c r="H79" i="1"/>
  <c r="P80" i="1"/>
  <c r="H76" i="1"/>
  <c r="H78" i="1"/>
  <c r="H75" i="1"/>
  <c r="H73" i="1"/>
  <c r="H72" i="1"/>
  <c r="O79" i="1"/>
  <c r="N147" i="1" s="1"/>
  <c r="O78" i="1"/>
  <c r="O76" i="1"/>
  <c r="N144" i="1" s="1"/>
  <c r="O75" i="1"/>
  <c r="O77" i="1"/>
  <c r="C87" i="1"/>
  <c r="D88" i="1"/>
  <c r="H77" i="1"/>
  <c r="Q81" i="1"/>
  <c r="N149" i="1"/>
  <c r="Q80" i="1"/>
  <c r="N148" i="1"/>
  <c r="O150" i="1"/>
  <c r="M109" i="1" s="1"/>
  <c r="L109" i="1" s="1"/>
  <c r="G82" i="1"/>
  <c r="P144" i="1" l="1"/>
  <c r="Q144" i="1"/>
  <c r="P148" i="1"/>
  <c r="Q148" i="1"/>
  <c r="P147" i="1"/>
  <c r="Q147" i="1"/>
  <c r="P149" i="1"/>
  <c r="Q149" i="1"/>
  <c r="R81" i="1"/>
  <c r="S81" i="1" s="1"/>
  <c r="R80" i="1"/>
  <c r="S80" i="1" s="1"/>
  <c r="P78" i="1"/>
  <c r="P79" i="1"/>
  <c r="P77" i="1"/>
  <c r="P76" i="1"/>
  <c r="P75" i="1"/>
  <c r="N146" i="1"/>
  <c r="Q77" i="1"/>
  <c r="R77" i="1" s="1"/>
  <c r="Q76" i="1"/>
  <c r="R76" i="1" s="1"/>
  <c r="S76" i="1" s="1"/>
  <c r="Q75" i="1"/>
  <c r="R75" i="1" s="1"/>
  <c r="Q79" i="1"/>
  <c r="R79" i="1" s="1"/>
  <c r="S79" i="1" s="1"/>
  <c r="N143" i="1"/>
  <c r="N145" i="1"/>
  <c r="Q78" i="1"/>
  <c r="R78" i="1" s="1"/>
  <c r="O74" i="1"/>
  <c r="O73" i="1"/>
  <c r="O72" i="1"/>
  <c r="C141" i="1"/>
  <c r="C142" i="1"/>
  <c r="C144" i="1"/>
  <c r="C145" i="1"/>
  <c r="C146" i="1"/>
  <c r="C147" i="1"/>
  <c r="C148" i="1"/>
  <c r="C149" i="1"/>
  <c r="C140" i="1"/>
  <c r="P146" i="1" l="1"/>
  <c r="Q146" i="1"/>
  <c r="P143" i="1"/>
  <c r="Q143" i="1" s="1"/>
  <c r="S78" i="1"/>
  <c r="P145" i="1"/>
  <c r="Q145" i="1" s="1"/>
  <c r="P74" i="1"/>
  <c r="N142" i="1"/>
  <c r="P73" i="1"/>
  <c r="P72" i="1"/>
  <c r="S77" i="1"/>
  <c r="S75" i="1"/>
  <c r="Q74" i="1"/>
  <c r="R74" i="1" s="1"/>
  <c r="N140" i="1"/>
  <c r="Q73" i="1"/>
  <c r="R73" i="1" s="1"/>
  <c r="N141" i="1"/>
  <c r="O82" i="1"/>
  <c r="M108" i="1" s="1"/>
  <c r="M110" i="1" s="1"/>
  <c r="Q72" i="1"/>
  <c r="R72" i="1" s="1"/>
  <c r="P142" i="1" l="1"/>
  <c r="Q142" i="1"/>
  <c r="P141" i="1"/>
  <c r="Q141" i="1" s="1"/>
  <c r="S74" i="1"/>
  <c r="Q82" i="1"/>
  <c r="P140" i="1"/>
  <c r="Q140" i="1" s="1"/>
  <c r="S72" i="1"/>
  <c r="P150" i="1"/>
  <c r="M112" i="1" s="1"/>
  <c r="N150" i="1"/>
  <c r="L50" i="1"/>
  <c r="S73" i="1" l="1"/>
  <c r="S82" i="1" s="1"/>
  <c r="Q150" i="1"/>
  <c r="P50" i="1"/>
  <c r="M50" i="1"/>
  <c r="J50" i="1"/>
  <c r="I50" i="1"/>
  <c r="N82" i="1" l="1"/>
  <c r="F82" i="1"/>
  <c r="G112" i="1" l="1"/>
  <c r="S50" i="1"/>
  <c r="G113" i="1" l="1"/>
  <c r="G115" i="1" s="1"/>
  <c r="M113" i="1" l="1"/>
  <c r="M114" i="1" l="1"/>
  <c r="M115" i="1" s="1"/>
  <c r="L150" i="1"/>
  <c r="N112" i="1" l="1"/>
  <c r="N110" i="1"/>
  <c r="N108" i="1"/>
  <c r="N109" i="1"/>
  <c r="N107" i="1"/>
  <c r="N113" i="1"/>
  <c r="N114" i="1"/>
  <c r="S102" i="1"/>
  <c r="N115" i="1" l="1"/>
  <c r="N115" i="3" l="1"/>
  <c r="N110" i="3"/>
  <c r="N116" i="3" l="1"/>
</calcChain>
</file>

<file path=xl/sharedStrings.xml><?xml version="1.0" encoding="utf-8"?>
<sst xmlns="http://schemas.openxmlformats.org/spreadsheetml/2006/main" count="418" uniqueCount="238">
  <si>
    <t>Outil de dimensionnement</t>
  </si>
  <si>
    <t>des dispositifs de gestion des eaux pluviales</t>
  </si>
  <si>
    <t>pour les pluies courantes</t>
  </si>
  <si>
    <r>
      <rPr>
        <sz val="16"/>
        <rFont val="Webdings"/>
        <family val="1"/>
        <charset val="2"/>
      </rPr>
      <t>i</t>
    </r>
    <r>
      <rPr>
        <sz val="10.5"/>
        <rFont val="Arial"/>
        <family val="2"/>
      </rPr>
      <t xml:space="preserve"> </t>
    </r>
    <r>
      <rPr>
        <b/>
        <sz val="10.5"/>
        <rFont val="Arial"/>
        <family val="2"/>
      </rPr>
      <t>Fonctionnement du tableur</t>
    </r>
  </si>
  <si>
    <r>
      <t xml:space="preserve">Les cases bleues servent à </t>
    </r>
    <r>
      <rPr>
        <b/>
        <sz val="10.5"/>
        <color theme="1"/>
        <rFont val="Arial"/>
        <family val="2"/>
      </rPr>
      <t>renseigner les données d'entrée du projet</t>
    </r>
    <r>
      <rPr>
        <sz val="10.5"/>
        <color theme="1"/>
        <rFont val="Arial"/>
        <family val="2"/>
      </rPr>
      <t>.</t>
    </r>
  </si>
  <si>
    <r>
      <t xml:space="preserve">Les cases </t>
    </r>
    <r>
      <rPr>
        <b/>
        <sz val="10.5"/>
        <color theme="1"/>
        <rFont val="Arial"/>
        <family val="2"/>
      </rPr>
      <t xml:space="preserve">jaunes </t>
    </r>
    <r>
      <rPr>
        <sz val="10.5"/>
        <color theme="1"/>
        <rFont val="Arial"/>
        <family val="2"/>
      </rPr>
      <t xml:space="preserve">contiennent des hypothèses de calcul </t>
    </r>
    <r>
      <rPr>
        <b/>
        <sz val="10.5"/>
        <color theme="1"/>
        <rFont val="Arial"/>
        <family val="2"/>
      </rPr>
      <t>à modifier avec précaution</t>
    </r>
    <r>
      <rPr>
        <sz val="10.5"/>
        <color theme="1"/>
        <rFont val="Arial"/>
        <family val="2"/>
      </rPr>
      <t>.</t>
    </r>
  </si>
  <si>
    <r>
      <t xml:space="preserve">Les cases </t>
    </r>
    <r>
      <rPr>
        <b/>
        <sz val="10.5"/>
        <color theme="1"/>
        <rFont val="Arial"/>
        <family val="2"/>
      </rPr>
      <t xml:space="preserve">grises </t>
    </r>
    <r>
      <rPr>
        <sz val="10.5"/>
        <color theme="1"/>
        <rFont val="Arial"/>
        <family val="2"/>
      </rPr>
      <t xml:space="preserve">sont calculées automatiquement et </t>
    </r>
    <r>
      <rPr>
        <b/>
        <sz val="10.5"/>
        <color theme="1"/>
        <rFont val="Arial"/>
        <family val="2"/>
      </rPr>
      <t>ne doivent pas être modifiées</t>
    </r>
    <r>
      <rPr>
        <sz val="10.5"/>
        <color theme="1"/>
        <rFont val="Arial"/>
        <family val="2"/>
      </rPr>
      <t>.</t>
    </r>
  </si>
  <si>
    <t>Données d'entrée du projet</t>
  </si>
  <si>
    <t>Nom du projet</t>
  </si>
  <si>
    <t>Adresse et arrondissement</t>
  </si>
  <si>
    <t xml:space="preserve"> </t>
  </si>
  <si>
    <t>Zone du zonage pluvial</t>
  </si>
  <si>
    <t>Zonage pluvial</t>
  </si>
  <si>
    <t>Zones d'application des SAGE</t>
  </si>
  <si>
    <t>Zone d'application d'un SAGE</t>
  </si>
  <si>
    <t>Zone bleue</t>
  </si>
  <si>
    <t>Gestion à la source – 10 mm</t>
  </si>
  <si>
    <t>SAGE Bièvre</t>
  </si>
  <si>
    <t>Zone verte</t>
  </si>
  <si>
    <t>Gestion à la source – Pluie décennale</t>
  </si>
  <si>
    <t>Surface de référence du projet (m²)</t>
  </si>
  <si>
    <t>Zone hachurée</t>
  </si>
  <si>
    <t>Stockage-restitution – Pluie décennale</t>
  </si>
  <si>
    <t>SAGE Marne Confluence</t>
  </si>
  <si>
    <r>
      <rPr>
        <sz val="16"/>
        <rFont val="Webdings"/>
        <family val="1"/>
        <charset val="2"/>
      </rPr>
      <t>i</t>
    </r>
    <r>
      <rPr>
        <sz val="10.5"/>
        <rFont val="Arial"/>
        <family val="2"/>
      </rPr>
      <t xml:space="preserve"> </t>
    </r>
    <r>
      <rPr>
        <b/>
        <sz val="10.5"/>
        <rFont val="Arial"/>
        <family val="2"/>
      </rPr>
      <t xml:space="preserve">Ce champ doit obligatoirement être renseigné. </t>
    </r>
    <r>
      <rPr>
        <sz val="10.5"/>
        <rFont val="Arial"/>
        <family val="2"/>
      </rPr>
      <t>La surface de référence est définie à l'article 2.2.1 du zonage pluvial.</t>
    </r>
  </si>
  <si>
    <t>Caractéristiques des bassins versants</t>
  </si>
  <si>
    <t>i</t>
  </si>
  <si>
    <t>Un bassin versant (BV) est une zone dont toutes les eaux pluviales rejoignent un même dispositif de gestion des eaux pluviales.</t>
  </si>
  <si>
    <r>
      <t xml:space="preserve">Pour chaque BV, renseigner le type de dispositif, la surface du dispositif, puis les </t>
    </r>
    <r>
      <rPr>
        <b/>
        <u/>
        <sz val="10.5"/>
        <color rgb="FFCE186F"/>
        <rFont val="Arial"/>
        <family val="2"/>
      </rPr>
      <t>autres</t>
    </r>
    <r>
      <rPr>
        <b/>
        <sz val="10.5"/>
        <rFont val="Arial"/>
        <family val="2"/>
      </rPr>
      <t xml:space="preserve"> types de surfaces composant le BV. Enfin, </t>
    </r>
    <r>
      <rPr>
        <b/>
        <u/>
        <sz val="10.5"/>
        <rFont val="Arial"/>
        <family val="2"/>
      </rPr>
      <t>vérifier que la surface totale du BV est exacte</t>
    </r>
    <r>
      <rPr>
        <b/>
        <sz val="10.5"/>
        <rFont val="Arial"/>
        <family val="2"/>
      </rPr>
      <t>.</t>
    </r>
  </si>
  <si>
    <t>N° du
bassin versant</t>
  </si>
  <si>
    <t>Nom
du bassin versant (facultatif)</t>
  </si>
  <si>
    <t>Dispositif de gestion des eaux pluviales</t>
  </si>
  <si>
    <t>Autres surfaces du bassin versant</t>
  </si>
  <si>
    <t>Bilan pour les pluies courantes</t>
  </si>
  <si>
    <t>Type de dispositif
de gestion des eaux pluviales</t>
  </si>
  <si>
    <t>Surface
du dispositif</t>
  </si>
  <si>
    <t>Espace végétalisé
en pleine terre</t>
  </si>
  <si>
    <t>Espace végétalisé
sur dalle ou étanche,
Toiture végétalisée</t>
  </si>
  <si>
    <t>Toiture terrasse gravillonnée</t>
  </si>
  <si>
    <t>Toiture imperméable</t>
  </si>
  <si>
    <t>Revêtement de sol perméable</t>
  </si>
  <si>
    <t>Revêtement de sol semi- perméable</t>
  </si>
  <si>
    <t>Revêtement de sol imperméable</t>
  </si>
  <si>
    <t>Surface
totale
du BV</t>
  </si>
  <si>
    <t>Surface active
du BV</t>
  </si>
  <si>
    <r>
      <t>Coefficient de ruissellement</t>
    </r>
    <r>
      <rPr>
        <b/>
        <vertAlign val="superscript"/>
        <sz val="10.5"/>
        <color theme="1"/>
        <rFont val="Arial"/>
        <family val="2"/>
      </rPr>
      <t xml:space="preserve">
</t>
    </r>
    <r>
      <rPr>
        <b/>
        <sz val="10.5"/>
        <color theme="1"/>
        <rFont val="Arial"/>
        <family val="2"/>
      </rPr>
      <t>du BV</t>
    </r>
  </si>
  <si>
    <t>Ép. ≥ 15 cm</t>
  </si>
  <si>
    <t>Ép. &lt; 15 cm</t>
  </si>
  <si>
    <r>
      <rPr>
        <b/>
        <sz val="10.5"/>
        <color theme="2" tint="-0.249977111117893"/>
        <rFont val="Arial"/>
        <family val="2"/>
      </rPr>
      <t>S</t>
    </r>
    <r>
      <rPr>
        <b/>
        <vertAlign val="subscript"/>
        <sz val="10.5"/>
        <color theme="2" tint="-0.249977111117893"/>
        <rFont val="Arial"/>
        <family val="2"/>
      </rPr>
      <t>D</t>
    </r>
    <r>
      <rPr>
        <b/>
        <sz val="10.5"/>
        <rFont val="Arial"/>
        <family val="2"/>
      </rPr>
      <t xml:space="preserve">  </t>
    </r>
    <r>
      <rPr>
        <b/>
        <sz val="10.5"/>
        <color theme="1"/>
        <rFont val="Arial"/>
        <family val="2"/>
      </rPr>
      <t>m²</t>
    </r>
  </si>
  <si>
    <t>m²</t>
  </si>
  <si>
    <r>
      <rPr>
        <b/>
        <sz val="10.5"/>
        <color theme="2" tint="-0.249977111117893"/>
        <rFont val="Arial"/>
        <family val="2"/>
      </rPr>
      <t>S</t>
    </r>
    <r>
      <rPr>
        <b/>
        <vertAlign val="subscript"/>
        <sz val="10.5"/>
        <color theme="2" tint="-0.249977111117893"/>
        <rFont val="Arial"/>
        <family val="2"/>
      </rPr>
      <t>BV</t>
    </r>
    <r>
      <rPr>
        <b/>
        <sz val="10.5"/>
        <color theme="2" tint="-0.249977111117893"/>
        <rFont val="Arial"/>
        <family val="2"/>
      </rPr>
      <t xml:space="preserve">  </t>
    </r>
    <r>
      <rPr>
        <b/>
        <sz val="10.5"/>
        <color theme="1"/>
        <rFont val="Arial"/>
        <family val="2"/>
      </rPr>
      <t>m²</t>
    </r>
  </si>
  <si>
    <r>
      <rPr>
        <b/>
        <sz val="10.5"/>
        <color theme="2" tint="-0.249977111117893"/>
        <rFont val="Arial"/>
        <family val="2"/>
      </rPr>
      <t>S</t>
    </r>
    <r>
      <rPr>
        <b/>
        <vertAlign val="subscript"/>
        <sz val="10.5"/>
        <color theme="2" tint="-0.249977111117893"/>
        <rFont val="Arial"/>
        <family val="2"/>
      </rPr>
      <t>A</t>
    </r>
    <r>
      <rPr>
        <b/>
        <sz val="10.5"/>
        <color theme="1"/>
        <rFont val="Arial"/>
        <family val="2"/>
      </rPr>
      <t xml:space="preserve">  m²</t>
    </r>
  </si>
  <si>
    <r>
      <rPr>
        <b/>
        <sz val="10.5"/>
        <color theme="2" tint="-0.249977111117893"/>
        <rFont val="Arial"/>
        <family val="2"/>
      </rPr>
      <t>C</t>
    </r>
    <r>
      <rPr>
        <b/>
        <vertAlign val="subscript"/>
        <sz val="10.5"/>
        <color theme="2" tint="-0.249977111117893"/>
        <rFont val="Arial"/>
        <family val="2"/>
      </rPr>
      <t>BV</t>
    </r>
    <r>
      <rPr>
        <b/>
        <sz val="10.5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sans unité</t>
    </r>
  </si>
  <si>
    <t>Total</t>
  </si>
  <si>
    <r>
      <t xml:space="preserve">Coefficients de ruissellement pour les pluies courantes </t>
    </r>
    <r>
      <rPr>
        <b/>
        <sz val="10.5"/>
        <color theme="2" tint="-0.249977111117893"/>
        <rFont val="Arial"/>
        <family val="2"/>
      </rPr>
      <t>C</t>
    </r>
    <r>
      <rPr>
        <b/>
        <vertAlign val="subscript"/>
        <sz val="10.5"/>
        <color theme="2" tint="-0.249977111117893"/>
        <rFont val="Arial"/>
        <family val="2"/>
      </rPr>
      <t>R</t>
    </r>
    <r>
      <rPr>
        <b/>
        <sz val="10.5"/>
        <color theme="1"/>
        <rFont val="Arial"/>
        <family val="2"/>
      </rPr>
      <t xml:space="preserve"> (sans unité)</t>
    </r>
  </si>
  <si>
    <t>Dimensionnement des dispositifs de gestion des eaux pluviales pour les pluies courantes</t>
  </si>
  <si>
    <t>Pour chaque dispositif gérant les eaux pluviales par infiltration ou par évapotranspiration, renseigner un coefficient de perméabilité ou une épaisseur de substrat.</t>
  </si>
  <si>
    <t>Vérifier que la capacité du dispositif est suffisante pour gérer les pluies courantes à la source, en 24 heures. Si ce n'est pas le cas, le projet doit être ajusté.</t>
  </si>
  <si>
    <r>
      <t xml:space="preserve">Lame d'eau à gérer à la source </t>
    </r>
    <r>
      <rPr>
        <b/>
        <sz val="10.5"/>
        <color theme="2" tint="-0.249977111117893"/>
        <rFont val="Arial"/>
        <family val="2"/>
      </rPr>
      <t>P</t>
    </r>
    <r>
      <rPr>
        <b/>
        <sz val="10.5"/>
        <color theme="1"/>
        <rFont val="Arial"/>
        <family val="2"/>
      </rPr>
      <t xml:space="preserve"> (mm)</t>
    </r>
  </si>
  <si>
    <t>Volume total
à gérer
à la source
sur le bassin versant</t>
  </si>
  <si>
    <r>
      <t xml:space="preserve">Volume géré
à la source
par les surfaces perméables
et semi-perméables </t>
    </r>
    <r>
      <rPr>
        <sz val="10.5"/>
        <color theme="1"/>
        <rFont val="Arial"/>
        <family val="2"/>
      </rPr>
      <t>(hors dispositif)</t>
    </r>
  </si>
  <si>
    <t>Volume et hauteur d'eau dans le dispositif</t>
  </si>
  <si>
    <t>Calcul de la capacité du dispositif</t>
  </si>
  <si>
    <t>Volume
à gérer
à la source
par le dispositif</t>
  </si>
  <si>
    <t>Hauteur d'eau
moyenne
à gérer dans
le dispositif</t>
  </si>
  <si>
    <t>Mode de gestion
des eaux pluviales</t>
  </si>
  <si>
    <r>
      <t xml:space="preserve">Perméabilité*
</t>
    </r>
    <r>
      <rPr>
        <b/>
        <i/>
        <sz val="9"/>
        <color theme="1"/>
        <rFont val="Arial"/>
        <family val="2"/>
      </rPr>
      <t>le cas échéant</t>
    </r>
  </si>
  <si>
    <r>
      <t xml:space="preserve">Épaisseur
de substrat
</t>
    </r>
    <r>
      <rPr>
        <b/>
        <i/>
        <sz val="9"/>
        <color theme="1"/>
        <rFont val="Arial"/>
        <family val="2"/>
      </rPr>
      <t>le cas échéant</t>
    </r>
  </si>
  <si>
    <t>Capacité maximale
de gestion
à la source
du dispositif
en 24 h</t>
  </si>
  <si>
    <t>Volume effectivement
géré à la source par le dispositif</t>
  </si>
  <si>
    <t>Estimation
de la durée
de vidange
du dispositif</t>
  </si>
  <si>
    <r>
      <t xml:space="preserve">Volume total géré à la source
</t>
    </r>
    <r>
      <rPr>
        <b/>
        <sz val="10.5"/>
        <color theme="2" tint="-0.249977111117893"/>
        <rFont val="Arial"/>
        <family val="2"/>
      </rPr>
      <t>(V</t>
    </r>
    <r>
      <rPr>
        <b/>
        <vertAlign val="subscript"/>
        <sz val="10.5"/>
        <color theme="2" tint="-0.249977111117893"/>
        <rFont val="Arial"/>
        <family val="2"/>
      </rPr>
      <t>1</t>
    </r>
    <r>
      <rPr>
        <b/>
        <sz val="10.5"/>
        <color theme="2" tint="-0.249977111117893"/>
        <rFont val="Arial"/>
        <family val="2"/>
      </rPr>
      <t xml:space="preserve"> + V</t>
    </r>
    <r>
      <rPr>
        <b/>
        <vertAlign val="subscript"/>
        <sz val="10.5"/>
        <color theme="2" tint="-0.249977111117893"/>
        <rFont val="Arial"/>
        <family val="2"/>
      </rPr>
      <t>2</t>
    </r>
    <r>
      <rPr>
        <b/>
        <sz val="10.5"/>
        <color theme="2" tint="-0.249977111117893"/>
        <rFont val="Arial"/>
        <family val="2"/>
      </rPr>
      <t>)</t>
    </r>
  </si>
  <si>
    <t>Part des pluies courantes gérées
à la source
en 24 h</t>
  </si>
  <si>
    <t>Volume non géré à la source</t>
  </si>
  <si>
    <r>
      <rPr>
        <b/>
        <sz val="10.5"/>
        <color theme="2" tint="-0.249977111117893"/>
        <rFont val="Arial"/>
        <family val="2"/>
      </rPr>
      <t>V</t>
    </r>
    <r>
      <rPr>
        <b/>
        <vertAlign val="subscript"/>
        <sz val="10.5"/>
        <color theme="2" tint="-0.249977111117893"/>
        <rFont val="Arial"/>
        <family val="2"/>
      </rPr>
      <t>BV</t>
    </r>
    <r>
      <rPr>
        <b/>
        <sz val="10.5"/>
        <color theme="1"/>
        <rFont val="Arial"/>
        <family val="2"/>
      </rPr>
      <t xml:space="preserve">  m³</t>
    </r>
  </si>
  <si>
    <r>
      <rPr>
        <b/>
        <sz val="10.5"/>
        <color theme="2" tint="-0.249977111117893"/>
        <rFont val="Arial"/>
        <family val="2"/>
      </rPr>
      <t>V</t>
    </r>
    <r>
      <rPr>
        <b/>
        <vertAlign val="subscript"/>
        <sz val="10.5"/>
        <color theme="2" tint="-0.249977111117893"/>
        <rFont val="Arial"/>
        <family val="2"/>
      </rPr>
      <t>1</t>
    </r>
    <r>
      <rPr>
        <b/>
        <sz val="10.5"/>
        <color theme="2" tint="-0.249977111117893"/>
        <rFont val="Arial"/>
        <family val="2"/>
      </rPr>
      <t xml:space="preserve"> </t>
    </r>
    <r>
      <rPr>
        <b/>
        <sz val="10.5"/>
        <rFont val="Arial"/>
        <family val="2"/>
      </rPr>
      <t xml:space="preserve"> m³</t>
    </r>
  </si>
  <si>
    <r>
      <rPr>
        <b/>
        <sz val="10.5"/>
        <color theme="2" tint="-0.249977111117893"/>
        <rFont val="Arial"/>
        <family val="2"/>
      </rPr>
      <t>V</t>
    </r>
    <r>
      <rPr>
        <b/>
        <sz val="10.5"/>
        <color theme="1"/>
        <rFont val="Arial"/>
        <family val="2"/>
      </rPr>
      <t xml:space="preserve">  m³</t>
    </r>
  </si>
  <si>
    <r>
      <rPr>
        <b/>
        <sz val="10.5"/>
        <color theme="2" tint="-0.249977111117893"/>
        <rFont val="Arial"/>
        <family val="2"/>
      </rPr>
      <t>h</t>
    </r>
    <r>
      <rPr>
        <b/>
        <vertAlign val="subscript"/>
        <sz val="10.5"/>
        <color theme="2" tint="-0.249977111117893"/>
        <rFont val="Arial"/>
        <family val="2"/>
      </rPr>
      <t>D</t>
    </r>
    <r>
      <rPr>
        <b/>
        <sz val="10.5"/>
        <rFont val="Arial"/>
        <family val="2"/>
      </rPr>
      <t xml:space="preserve">  cm</t>
    </r>
  </si>
  <si>
    <r>
      <rPr>
        <b/>
        <sz val="10.5"/>
        <color theme="2" tint="-0.249977111117893"/>
        <rFont val="Arial"/>
        <family val="2"/>
      </rPr>
      <t>K</t>
    </r>
    <r>
      <rPr>
        <b/>
        <sz val="10.5"/>
        <color theme="1"/>
        <rFont val="Arial"/>
        <family val="2"/>
      </rPr>
      <t xml:space="preserve">  m/s</t>
    </r>
  </si>
  <si>
    <t>cm</t>
  </si>
  <si>
    <r>
      <rPr>
        <b/>
        <sz val="10.5"/>
        <color theme="2" tint="-0.249977111117893"/>
        <rFont val="Arial"/>
        <family val="2"/>
      </rPr>
      <t>V</t>
    </r>
    <r>
      <rPr>
        <b/>
        <vertAlign val="subscript"/>
        <sz val="10.5"/>
        <color theme="2" tint="-0.24994659260841701"/>
        <rFont val="Arial"/>
        <family val="2"/>
      </rPr>
      <t>D</t>
    </r>
    <r>
      <rPr>
        <b/>
        <sz val="10.5"/>
        <color theme="1"/>
        <rFont val="Arial"/>
        <family val="2"/>
      </rPr>
      <t xml:space="preserve">  m³</t>
    </r>
  </si>
  <si>
    <r>
      <rPr>
        <b/>
        <sz val="10.5"/>
        <color theme="2" tint="-0.249977111117893"/>
        <rFont val="Arial"/>
        <family val="2"/>
      </rPr>
      <t>V</t>
    </r>
    <r>
      <rPr>
        <b/>
        <vertAlign val="subscript"/>
        <sz val="10.5"/>
        <color theme="2" tint="-0.249977111117893"/>
        <rFont val="Arial"/>
        <family val="2"/>
      </rPr>
      <t>2</t>
    </r>
    <r>
      <rPr>
        <b/>
        <sz val="10.5"/>
        <color theme="2" tint="-0.249977111117893"/>
        <rFont val="Arial"/>
        <family val="2"/>
      </rPr>
      <t xml:space="preserve"> </t>
    </r>
    <r>
      <rPr>
        <b/>
        <sz val="10.5"/>
        <color theme="1"/>
        <rFont val="Arial"/>
        <family val="2"/>
      </rPr>
      <t xml:space="preserve"> m³</t>
    </r>
  </si>
  <si>
    <r>
      <rPr>
        <b/>
        <sz val="10.5"/>
        <color theme="2" tint="-0.249977111117893"/>
        <rFont val="Arial"/>
        <family val="2"/>
      </rPr>
      <t>D</t>
    </r>
    <r>
      <rPr>
        <b/>
        <vertAlign val="subscript"/>
        <sz val="10.5"/>
        <color theme="2" tint="-0.249977111117893"/>
        <rFont val="Arial"/>
        <family val="2"/>
      </rPr>
      <t>V</t>
    </r>
    <r>
      <rPr>
        <b/>
        <sz val="10.5"/>
        <color theme="2" tint="-0.249977111117893"/>
        <rFont val="Arial"/>
        <family val="2"/>
      </rPr>
      <t xml:space="preserve"> </t>
    </r>
    <r>
      <rPr>
        <b/>
        <sz val="10.5"/>
        <color theme="1"/>
        <rFont val="Arial"/>
        <family val="2"/>
      </rPr>
      <t xml:space="preserve"> heures</t>
    </r>
  </si>
  <si>
    <t>m³</t>
  </si>
  <si>
    <t>-</t>
  </si>
  <si>
    <t>* La perméabilité est facultative pour les jardins de pluie en pleine terre, et doit être renseignée pour les autres dispositifs d'infiltration.</t>
  </si>
  <si>
    <t>** Le présent outil ne permet pas de dimensionner les dispositifs de récupération-utilisation. Le dimensionnement devra être justifié dans la note de gestion des eaux pluviales jointe à la demande d'AVEP.</t>
  </si>
  <si>
    <t>Hypothèses de lames d'eau gérées à la source, en fonction des épaisseurs de substrat des espaces végétalisés</t>
  </si>
  <si>
    <t>Épaisseur de substrat (cm)</t>
  </si>
  <si>
    <t>≤ 9 cm</t>
  </si>
  <si>
    <t>10 à 14 cm</t>
  </si>
  <si>
    <t xml:space="preserve">15 à 19 cm </t>
  </si>
  <si>
    <t>20 à 29 cm</t>
  </si>
  <si>
    <t>30 à 49 cm</t>
  </si>
  <si>
    <t>50 à 79 cm</t>
  </si>
  <si>
    <t>≥ 80 cm</t>
  </si>
  <si>
    <t>Lame d'eau gérée à la source en 24 heures (mm)</t>
  </si>
  <si>
    <t>Bilan de la gestion des pluies courantes</t>
  </si>
  <si>
    <t>La surface de référence du projet doit être renseignée (en partie 1) pour calculer le bilan</t>
  </si>
  <si>
    <t>Bilan des types de surfaces</t>
  </si>
  <si>
    <t>Bilan des volumes pour les pluies courantes</t>
  </si>
  <si>
    <t>Taux de gestion à la source
des pluies courantes
par rapport à l'objectif</t>
  </si>
  <si>
    <t>Espaces végétalisés en pleine terre</t>
  </si>
  <si>
    <t>Objectif de volume à gérer à la source selon la surface de référence (m³)</t>
  </si>
  <si>
    <t>Espaces végétalisés sur dalle ou étanches, toitures végétalisées</t>
  </si>
  <si>
    <t>% de l'objectif</t>
  </si>
  <si>
    <t>Revêtements perméables</t>
  </si>
  <si>
    <t>Volume géré à la source pour les pluies courantes</t>
  </si>
  <si>
    <t>Revêtements semi-perméables</t>
  </si>
  <si>
    <t>par les surfaces perméables ou végétalisées</t>
  </si>
  <si>
    <t>Surfaces imperméables dont les eaux pluviales
sont renvoyées vers un dispositif</t>
  </si>
  <si>
    <t>par les dispositifs d'infiltration et d'évapotranspiration</t>
  </si>
  <si>
    <r>
      <rPr>
        <sz val="16"/>
        <rFont val="Webdings"/>
        <family val="1"/>
        <charset val="2"/>
      </rPr>
      <t>i</t>
    </r>
    <r>
      <rPr>
        <sz val="10.5"/>
        <rFont val="Webdings"/>
        <family val="1"/>
        <charset val="2"/>
      </rPr>
      <t xml:space="preserve"> </t>
    </r>
    <r>
      <rPr>
        <sz val="10.5"/>
        <rFont val="Arial"/>
        <family val="2"/>
      </rPr>
      <t>Le taux peut être supérieur à 100 %</t>
    </r>
  </si>
  <si>
    <t>par récupération-utilisation</t>
  </si>
  <si>
    <t xml:space="preserve">       si la surface totale des bassins versants gérés</t>
  </si>
  <si>
    <t>Surfaces imperméables dont les eaux pluviales sont renvoyées à l'égout</t>
  </si>
  <si>
    <t>Sous-total</t>
  </si>
  <si>
    <t xml:space="preserve">       est supérieure à la surface de référence.</t>
  </si>
  <si>
    <t>Volume non géré à la source pour les pluies courantes</t>
  </si>
  <si>
    <t>Sous-total – Surfaces des BV renseignés</t>
  </si>
  <si>
    <t>dans les bassins versants renseignés</t>
  </si>
  <si>
    <t>Surfaces non renseignées (écart entre la surface des BV
et la surface de référence)</t>
  </si>
  <si>
    <t>correspondant aux surfaces non renseignées</t>
  </si>
  <si>
    <t>Conception : Ville de Paris / Direction de la Propreté et de l'Eau / Service Technique de l'Eau et de l'Assainissement – V3 – Août 2026</t>
  </si>
  <si>
    <t>Avertissement : les utilisateurs de cette note de calcul restent pleinement responsables du dimensionnement des ouvrages qu'ils conçoivent ou réalisent.</t>
  </si>
  <si>
    <t>Partie masquée</t>
  </si>
  <si>
    <t>Type de dispositif</t>
  </si>
  <si>
    <t>Surface comptée dans la surface active</t>
  </si>
  <si>
    <t>Mode de gestion associé</t>
  </si>
  <si>
    <t>Mode de calcul associé</t>
  </si>
  <si>
    <t>Jardin de pluie en pleine terre</t>
  </si>
  <si>
    <t>Oui</t>
  </si>
  <si>
    <t>Infiltration / évapotranspir.</t>
  </si>
  <si>
    <t>A ou B</t>
  </si>
  <si>
    <t>Mode de calcul</t>
  </si>
  <si>
    <t>Jardin de pluie étanche</t>
  </si>
  <si>
    <t>Évapotranspiration</t>
  </si>
  <si>
    <t>A</t>
  </si>
  <si>
    <t>Évapotranpiration</t>
  </si>
  <si>
    <t>Toiture végétalisée</t>
  </si>
  <si>
    <t>B</t>
  </si>
  <si>
    <t>Infiltration</t>
  </si>
  <si>
    <t>Zone bleue et hachurée</t>
  </si>
  <si>
    <t>Chaussée réservoir</t>
  </si>
  <si>
    <t>C</t>
  </si>
  <si>
    <t>Pas de calcul</t>
  </si>
  <si>
    <t>Tranchée drainante en surface</t>
  </si>
  <si>
    <t>D</t>
  </si>
  <si>
    <t>Pas de dispositif</t>
  </si>
  <si>
    <t>Tranchée drainante enterrée</t>
  </si>
  <si>
    <t>Non</t>
  </si>
  <si>
    <t>SAGE</t>
  </si>
  <si>
    <t>Autre dispositif d'infiltration enterré</t>
  </si>
  <si>
    <t>Perméabilité par défaut</t>
  </si>
  <si>
    <t>Hors périmètre de SAGE</t>
  </si>
  <si>
    <t>Récupération-utilisation</t>
  </si>
  <si>
    <t>Récupération-utilisation**</t>
  </si>
  <si>
    <t>Bilan des surfaces</t>
  </si>
  <si>
    <t>Bilan des volumes</t>
  </si>
  <si>
    <t>Bassin versant</t>
  </si>
  <si>
    <r>
      <t xml:space="preserve">Alerte calcul infiltration
</t>
    </r>
    <r>
      <rPr>
        <sz val="14"/>
        <color theme="8" tint="-0.499984740745262"/>
        <rFont val="Arial"/>
        <family val="2"/>
      </rPr>
      <t>⚠️</t>
    </r>
  </si>
  <si>
    <t>Espaces végétalisés étanches</t>
  </si>
  <si>
    <t>Surface imperméable
associée à un dispositif</t>
  </si>
  <si>
    <t>Surface imperméable non associée à un dispositif</t>
  </si>
  <si>
    <t>Surface
totale
du bassin versant</t>
  </si>
  <si>
    <t>Volume non ruisselé</t>
  </si>
  <si>
    <t>Volume géré par les dispositifs d'INF et d'ET</t>
  </si>
  <si>
    <t>Volume géré par récupération-utilisation</t>
  </si>
  <si>
    <t>Volume non géré</t>
  </si>
  <si>
    <t>Volume total</t>
  </si>
  <si>
    <r>
      <rPr>
        <b/>
        <sz val="10.5"/>
        <color theme="2" tint="-0.249977111117893"/>
        <rFont val="Arial"/>
        <family val="2"/>
      </rPr>
      <t>S</t>
    </r>
    <r>
      <rPr>
        <b/>
        <vertAlign val="subscript"/>
        <sz val="10.5"/>
        <color theme="2" tint="-0.249977111117893"/>
        <rFont val="Arial"/>
        <family val="2"/>
      </rPr>
      <t>BV</t>
    </r>
    <r>
      <rPr>
        <b/>
        <sz val="10.5"/>
        <color theme="2" tint="-0.249977111117893"/>
        <rFont val="Arial"/>
        <family val="2"/>
      </rPr>
      <t xml:space="preserve">  </t>
    </r>
    <r>
      <rPr>
        <b/>
        <sz val="10.5"/>
        <rFont val="Arial"/>
        <family val="2"/>
      </rPr>
      <t>m²</t>
    </r>
  </si>
  <si>
    <r>
      <rPr>
        <b/>
        <sz val="10.5"/>
        <color theme="2" tint="-0.249977111117893"/>
        <rFont val="Arial"/>
        <family val="2"/>
      </rPr>
      <t>V</t>
    </r>
    <r>
      <rPr>
        <b/>
        <vertAlign val="subscript"/>
        <sz val="10.5"/>
        <color theme="2" tint="-0.249977111117893"/>
        <rFont val="Arial"/>
        <family val="2"/>
      </rPr>
      <t>3</t>
    </r>
    <r>
      <rPr>
        <b/>
        <sz val="10.5"/>
        <color theme="2" tint="-0.249977111117893"/>
        <rFont val="Arial"/>
        <family val="2"/>
      </rPr>
      <t xml:space="preserve"> </t>
    </r>
    <r>
      <rPr>
        <b/>
        <sz val="10.5"/>
        <rFont val="Arial"/>
        <family val="2"/>
      </rPr>
      <t xml:space="preserve"> m³</t>
    </r>
  </si>
  <si>
    <t>Fin de la partie masquée</t>
  </si>
  <si>
    <t>pour la pluie décennale</t>
  </si>
  <si>
    <t>N° du bassin versant</t>
  </si>
  <si>
    <t>Bilan pour la pluie décennale</t>
  </si>
  <si>
    <r>
      <t xml:space="preserve">Coefficients de ruissellement pour la pluie décennale </t>
    </r>
    <r>
      <rPr>
        <b/>
        <sz val="10.5"/>
        <color theme="2" tint="-0.249977111117893"/>
        <rFont val="Arial"/>
        <family val="2"/>
      </rPr>
      <t>C</t>
    </r>
    <r>
      <rPr>
        <b/>
        <vertAlign val="subscript"/>
        <sz val="10.5"/>
        <color theme="2" tint="-0.249977111117893"/>
        <rFont val="Arial"/>
        <family val="2"/>
      </rPr>
      <t>R</t>
    </r>
    <r>
      <rPr>
        <b/>
        <sz val="10.5"/>
        <color theme="1"/>
        <rFont val="Arial"/>
        <family val="2"/>
      </rPr>
      <t xml:space="preserve"> (sans unité)</t>
    </r>
  </si>
  <si>
    <t>Prédimensionnement des dispositifs de gestion des eaux pluviales pour la pluie décennale de référence</t>
  </si>
  <si>
    <t>Pour chaque dispositif, renseigner le mode d'évacuation des eaux pluviales et, pour les dispositifs d'infiltration, renseigner la perméabilité. Vérifier les résultats du prédimensionnement.</t>
  </si>
  <si>
    <r>
      <t>Le prédimensionnement correspond à une</t>
    </r>
    <r>
      <rPr>
        <sz val="10.5"/>
        <color rgb="FFCE186F"/>
        <rFont val="Arial"/>
        <family val="2"/>
      </rPr>
      <t xml:space="preserve"> </t>
    </r>
    <r>
      <rPr>
        <b/>
        <sz val="10.5"/>
        <color rgb="FFCE186F"/>
        <rFont val="Arial"/>
        <family val="2"/>
      </rPr>
      <t>pluie décennale d'une hauteur de 48 mm et d'une durée de 4 heures.</t>
    </r>
  </si>
  <si>
    <t>Débit de rejet (L/s/ha)</t>
  </si>
  <si>
    <t>Données d'entrée pour le calcul des débits d'évacuation</t>
  </si>
  <si>
    <t>Calcul des débits d'évacuation</t>
  </si>
  <si>
    <t>Volume et hauteur d'eau à gérer dans le dispositif</t>
  </si>
  <si>
    <t>Mode d'évacuation
des eaux pluviales</t>
  </si>
  <si>
    <r>
      <t xml:space="preserve">Surface d'infiltration
</t>
    </r>
    <r>
      <rPr>
        <b/>
        <i/>
        <sz val="9"/>
        <color theme="1"/>
        <rFont val="Arial"/>
        <family val="2"/>
      </rPr>
      <t>le cas échéant</t>
    </r>
  </si>
  <si>
    <r>
      <t xml:space="preserve">Perméabilité
</t>
    </r>
    <r>
      <rPr>
        <b/>
        <i/>
        <sz val="9"/>
        <color theme="1"/>
        <rFont val="Arial"/>
        <family val="2"/>
      </rPr>
      <t>le cas échéant</t>
    </r>
  </si>
  <si>
    <t>Débit d'infiltration</t>
  </si>
  <si>
    <t>Débit de rejet (débit limité)</t>
  </si>
  <si>
    <t>Débit d'évacuation total</t>
  </si>
  <si>
    <t>Volume
de stockage par hectare
de surface active</t>
  </si>
  <si>
    <t>Volume à stocker</t>
  </si>
  <si>
    <t>Hauteur d'eau moyenne
à prévoir</t>
  </si>
  <si>
    <t>Durée
de vidange</t>
  </si>
  <si>
    <t>Capacité
de stockage prévue</t>
  </si>
  <si>
    <t>Part du volume stocké pour
la pluie décennale</t>
  </si>
  <si>
    <t>Volume
non stocké pour la pluie décennale</t>
  </si>
  <si>
    <t>Débit d'évacuation spécifique</t>
  </si>
  <si>
    <r>
      <rPr>
        <b/>
        <sz val="10.5"/>
        <color theme="2" tint="-0.249977111117893"/>
        <rFont val="Arial"/>
        <family val="2"/>
      </rPr>
      <t>S</t>
    </r>
    <r>
      <rPr>
        <b/>
        <vertAlign val="subscript"/>
        <sz val="10.5"/>
        <color theme="2" tint="-0.249977111117893"/>
        <rFont val="Arial"/>
        <family val="2"/>
      </rPr>
      <t>D</t>
    </r>
    <r>
      <rPr>
        <b/>
        <sz val="10.5"/>
        <color theme="1"/>
        <rFont val="Arial"/>
        <family val="2"/>
      </rPr>
      <t xml:space="preserve">  m²</t>
    </r>
  </si>
  <si>
    <r>
      <rPr>
        <b/>
        <sz val="10.5"/>
        <color theme="2" tint="-0.249977111117893"/>
        <rFont val="Arial"/>
        <family val="2"/>
      </rPr>
      <t>Q</t>
    </r>
    <r>
      <rPr>
        <b/>
        <vertAlign val="subscript"/>
        <sz val="10.5"/>
        <color theme="2" tint="-0.24994659260841701"/>
        <rFont val="Arial"/>
        <family val="2"/>
      </rPr>
      <t>INF</t>
    </r>
    <r>
      <rPr>
        <b/>
        <sz val="10.5"/>
        <color theme="1"/>
        <rFont val="Arial"/>
        <family val="2"/>
      </rPr>
      <t xml:space="preserve">  L/s</t>
    </r>
  </si>
  <si>
    <r>
      <rPr>
        <b/>
        <sz val="10.5"/>
        <color theme="2" tint="-0.249977111117893"/>
        <rFont val="Arial"/>
        <family val="2"/>
      </rPr>
      <t>Q</t>
    </r>
    <r>
      <rPr>
        <b/>
        <vertAlign val="subscript"/>
        <sz val="10.5"/>
        <color theme="2" tint="-0.24994659260841701"/>
        <rFont val="Arial"/>
        <family val="2"/>
      </rPr>
      <t>F</t>
    </r>
    <r>
      <rPr>
        <b/>
        <sz val="10.5"/>
        <color theme="1"/>
        <rFont val="Arial"/>
        <family val="2"/>
      </rPr>
      <t xml:space="preserve">  L/s</t>
    </r>
  </si>
  <si>
    <r>
      <rPr>
        <b/>
        <sz val="10.5"/>
        <color theme="2" tint="-0.249977111117893"/>
        <rFont val="Arial"/>
        <family val="2"/>
      </rPr>
      <t>Q</t>
    </r>
    <r>
      <rPr>
        <b/>
        <vertAlign val="subscript"/>
        <sz val="10.5"/>
        <color theme="2" tint="-0.24994659260841701"/>
        <rFont val="Arial"/>
        <family val="2"/>
      </rPr>
      <t>T</t>
    </r>
    <r>
      <rPr>
        <b/>
        <sz val="10.5"/>
        <color theme="1"/>
        <rFont val="Arial"/>
        <family val="2"/>
      </rPr>
      <t xml:space="preserve">  L/s</t>
    </r>
  </si>
  <si>
    <r>
      <rPr>
        <b/>
        <sz val="10.5"/>
        <color theme="2" tint="-0.249977111117893"/>
        <rFont val="Arial"/>
        <family val="2"/>
      </rPr>
      <t>Q</t>
    </r>
    <r>
      <rPr>
        <b/>
        <vertAlign val="subscript"/>
        <sz val="10.5"/>
        <color theme="2" tint="-0.249977111117893"/>
        <rFont val="Arial"/>
        <family val="2"/>
      </rPr>
      <t>SP</t>
    </r>
    <r>
      <rPr>
        <b/>
        <sz val="10.5"/>
        <color theme="2" tint="-0.249977111117893"/>
        <rFont val="Arial"/>
        <family val="2"/>
      </rPr>
      <t xml:space="preserve"> </t>
    </r>
    <r>
      <rPr>
        <b/>
        <sz val="10.5"/>
        <rFont val="Arial"/>
        <family val="2"/>
      </rPr>
      <t xml:space="preserve"> </t>
    </r>
    <r>
      <rPr>
        <b/>
        <sz val="9"/>
        <rFont val="Arial"/>
        <family val="2"/>
      </rPr>
      <t>L/s/ha actif</t>
    </r>
  </si>
  <si>
    <r>
      <rPr>
        <b/>
        <sz val="10.5"/>
        <color theme="2" tint="-0.249977111117893"/>
        <rFont val="Arial"/>
        <family val="2"/>
      </rPr>
      <t>V</t>
    </r>
    <r>
      <rPr>
        <b/>
        <vertAlign val="subscript"/>
        <sz val="10.5"/>
        <color theme="2" tint="-0.249977111117893"/>
        <rFont val="Arial"/>
        <family val="2"/>
      </rPr>
      <t>SP</t>
    </r>
    <r>
      <rPr>
        <b/>
        <sz val="10.5"/>
        <color theme="2" tint="-0.249977111117893"/>
        <rFont val="Arial"/>
        <family val="2"/>
      </rPr>
      <t xml:space="preserve">  </t>
    </r>
    <r>
      <rPr>
        <b/>
        <sz val="9"/>
        <color theme="1"/>
        <rFont val="Arial"/>
        <family val="2"/>
      </rPr>
      <t>m³/ha actif</t>
    </r>
  </si>
  <si>
    <r>
      <rPr>
        <b/>
        <sz val="10.5"/>
        <color theme="2" tint="-0.249977111117893"/>
        <rFont val="Arial"/>
        <family val="2"/>
      </rPr>
      <t>h</t>
    </r>
    <r>
      <rPr>
        <b/>
        <vertAlign val="subscript"/>
        <sz val="10.5"/>
        <color theme="2" tint="-0.249977111117893"/>
        <rFont val="Arial"/>
        <family val="2"/>
      </rPr>
      <t>D</t>
    </r>
    <r>
      <rPr>
        <b/>
        <sz val="10.5"/>
        <color theme="2" tint="-0.249977111117893"/>
        <rFont val="Arial"/>
        <family val="2"/>
      </rPr>
      <t xml:space="preserve">  </t>
    </r>
    <r>
      <rPr>
        <b/>
        <sz val="10.5"/>
        <color theme="1"/>
        <rFont val="Arial"/>
        <family val="2"/>
      </rPr>
      <t>cm</t>
    </r>
  </si>
  <si>
    <r>
      <rPr>
        <b/>
        <sz val="10.5"/>
        <color theme="2" tint="-0.249977111117893"/>
        <rFont val="Arial"/>
        <family val="2"/>
      </rPr>
      <t>D</t>
    </r>
    <r>
      <rPr>
        <b/>
        <vertAlign val="subscript"/>
        <sz val="10.5"/>
        <color theme="2" tint="-0.249977111117893"/>
        <rFont val="Arial"/>
        <family val="2"/>
      </rPr>
      <t>V</t>
    </r>
    <r>
      <rPr>
        <b/>
        <sz val="10.5"/>
        <color theme="2" tint="-0.249977111117893"/>
        <rFont val="Arial"/>
        <family val="2"/>
      </rPr>
      <t xml:space="preserve">  </t>
    </r>
    <r>
      <rPr>
        <b/>
        <sz val="10.5"/>
        <color theme="1"/>
        <rFont val="Arial"/>
        <family val="2"/>
      </rPr>
      <t>heures</t>
    </r>
  </si>
  <si>
    <r>
      <rPr>
        <b/>
        <sz val="10.5"/>
        <color theme="2" tint="-0.249977111117893"/>
        <rFont val="Arial"/>
        <family val="2"/>
      </rPr>
      <t>V</t>
    </r>
    <r>
      <rPr>
        <b/>
        <vertAlign val="subscript"/>
        <sz val="10.5"/>
        <color theme="2" tint="-0.249977111117893"/>
        <rFont val="Arial"/>
        <family val="2"/>
      </rPr>
      <t>D</t>
    </r>
    <r>
      <rPr>
        <b/>
        <sz val="10.5"/>
        <color theme="1"/>
        <rFont val="Arial"/>
        <family val="2"/>
      </rPr>
      <t xml:space="preserve">  m³</t>
    </r>
  </si>
  <si>
    <t>Bilan de la gestion de la pluie décennale</t>
  </si>
  <si>
    <t>Bilan des surfaces gérées ou non pour la pluie décennale</t>
  </si>
  <si>
    <t>m² (surface brute)</t>
  </si>
  <si>
    <t>% de la surf. de référence</t>
  </si>
  <si>
    <t>Surfaces gérées pour la pluie décennale</t>
  </si>
  <si>
    <t>Taux de surfaces gérées pour la pluie décennale, par rapport à la surface de référence</t>
  </si>
  <si>
    <t>Espaces végétalisés sur dalle ou étanches,
toitures végétalisées</t>
  </si>
  <si>
    <t>Bassins versants gérés en totalité</t>
  </si>
  <si>
    <r>
      <t xml:space="preserve">Bassins versants en partie gérés </t>
    </r>
    <r>
      <rPr>
        <i/>
        <sz val="10.5"/>
        <color theme="1"/>
        <rFont val="Arial"/>
        <family val="2"/>
      </rPr>
      <t>(surfaces pondérées)</t>
    </r>
  </si>
  <si>
    <t>Surfaces non gérées pour la pluie décennale</t>
  </si>
  <si>
    <r>
      <t xml:space="preserve">Bassins versants en partie non gérés </t>
    </r>
    <r>
      <rPr>
        <i/>
        <sz val="10.5"/>
        <color theme="1"/>
        <rFont val="Arial"/>
        <family val="2"/>
      </rPr>
      <t>(surf. pondérées)</t>
    </r>
  </si>
  <si>
    <t>Bassins versants sans dispositif</t>
  </si>
  <si>
    <t>Surfaces imperméables dont les eaux pluviales
sont renvoyées à l'égout</t>
  </si>
  <si>
    <t>Surfaces non renseignées</t>
  </si>
  <si>
    <t>Surfaces des dispositifs de gestion
des eaux pluviales à ciel ouvert</t>
  </si>
  <si>
    <t>Bilan des volumes pour la pluie décennale</t>
  </si>
  <si>
    <t>% du total</t>
  </si>
  <si>
    <t>Volumes stockés pour la pluie décennale</t>
  </si>
  <si>
    <t>par des dispositifs d'infiltration</t>
  </si>
  <si>
    <t>par des dispositifs de stockage-restitution</t>
  </si>
  <si>
    <t>par des dispositifs mixtes</t>
  </si>
  <si>
    <t>Volumes non stockés pour la pluie décennale</t>
  </si>
  <si>
    <t>dans les bassins versants munis d'un dispositif</t>
  </si>
  <si>
    <r>
      <t xml:space="preserve">dans les bassins versants sans dispositif </t>
    </r>
    <r>
      <rPr>
        <i/>
        <sz val="10.5"/>
        <color theme="1"/>
        <rFont val="Arial"/>
        <family val="2"/>
      </rPr>
      <t>(approx.)</t>
    </r>
  </si>
  <si>
    <r>
      <t xml:space="preserve">correspondant aux surfaces non renseignées </t>
    </r>
    <r>
      <rPr>
        <i/>
        <sz val="10.5"/>
        <color theme="1"/>
        <rFont val="Arial"/>
        <family val="2"/>
      </rPr>
      <t>(approx.)</t>
    </r>
  </si>
  <si>
    <t>Dispositif de stockage à ciel ouvert</t>
  </si>
  <si>
    <t>Toiture végétalisée avec stockage</t>
  </si>
  <si>
    <t>Dispositif de stockage enterré</t>
  </si>
  <si>
    <t>Modes d'évacuation</t>
  </si>
  <si>
    <t>Rejet à débit limité</t>
  </si>
  <si>
    <t>Infiltration et débit limité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</si>
</sst>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.0_ ;\-#,##0.0\ "/>
    <numFmt numFmtId="167" formatCode="#,##0.00_ ;\-#,##0.00\ "/>
  </numFmts>
  <fonts count="50">
    <font>
      <sz val="11"/>
      <color theme="1"/>
      <name val="Montserrat"/>
      <family val="2"/>
      <scheme val="minor"/>
    </font>
    <font>
      <sz val="11"/>
      <color theme="1"/>
      <name val="Montserrat"/>
      <family val="2"/>
      <scheme val="minor"/>
    </font>
    <font>
      <sz val="10.5"/>
      <name val="Webdings"/>
      <family val="1"/>
      <charset val="2"/>
    </font>
    <font>
      <sz val="16"/>
      <name val="Webdings"/>
      <family val="1"/>
      <charset val="2"/>
    </font>
    <font>
      <sz val="10.5"/>
      <color theme="1"/>
      <name val="Arial"/>
      <family val="2"/>
    </font>
    <font>
      <b/>
      <sz val="16"/>
      <color theme="3"/>
      <name val="Arial"/>
      <family val="2"/>
    </font>
    <font>
      <sz val="16"/>
      <color theme="2" tint="-0.249977111117893"/>
      <name val="Arial"/>
      <family val="2"/>
    </font>
    <font>
      <sz val="10.5"/>
      <color theme="8" tint="-0.249977111117893"/>
      <name val="Arial"/>
      <family val="2"/>
    </font>
    <font>
      <b/>
      <sz val="16"/>
      <color theme="1" tint="4.9989318521683403E-2"/>
      <name val="Arial"/>
      <family val="2"/>
    </font>
    <font>
      <sz val="10.5"/>
      <color theme="1" tint="4.9989318521683403E-2"/>
      <name val="Arial"/>
      <family val="2"/>
    </font>
    <font>
      <b/>
      <sz val="10.5"/>
      <color theme="1"/>
      <name val="Arial"/>
      <family val="2"/>
    </font>
    <font>
      <sz val="11"/>
      <color theme="1"/>
      <name val="Arial"/>
      <family val="2"/>
    </font>
    <font>
      <sz val="10.5"/>
      <name val="Arial"/>
      <family val="2"/>
    </font>
    <font>
      <sz val="16"/>
      <name val="Arial"/>
      <family val="2"/>
    </font>
    <font>
      <b/>
      <sz val="11"/>
      <color theme="1"/>
      <name val="Arial"/>
      <family val="2"/>
    </font>
    <font>
      <b/>
      <sz val="12"/>
      <color rgb="FFFFFFFF"/>
      <name val="Arial"/>
      <family val="2"/>
    </font>
    <font>
      <b/>
      <sz val="11"/>
      <color rgb="FFFFFFFF"/>
      <name val="Arial"/>
      <family val="2"/>
    </font>
    <font>
      <sz val="11"/>
      <color rgb="FFFFFFFF"/>
      <name val="Arial"/>
      <family val="2"/>
    </font>
    <font>
      <b/>
      <sz val="10"/>
      <color theme="1"/>
      <name val="Arial"/>
      <family val="2"/>
    </font>
    <font>
      <b/>
      <sz val="9.5"/>
      <color theme="1"/>
      <name val="Arial"/>
      <family val="2"/>
    </font>
    <font>
      <sz val="10.5"/>
      <color rgb="FFFFFFFF"/>
      <name val="Arial"/>
      <family val="2"/>
    </font>
    <font>
      <sz val="10"/>
      <color theme="1"/>
      <name val="Arial"/>
      <family val="2"/>
    </font>
    <font>
      <b/>
      <sz val="10.5"/>
      <name val="Arial"/>
      <family val="2"/>
    </font>
    <font>
      <b/>
      <u/>
      <sz val="10.5"/>
      <name val="Arial"/>
      <family val="2"/>
    </font>
    <font>
      <b/>
      <sz val="10.5"/>
      <color theme="8"/>
      <name val="Arial"/>
      <family val="2"/>
    </font>
    <font>
      <b/>
      <vertAlign val="superscript"/>
      <sz val="10.5"/>
      <color theme="1"/>
      <name val="Arial"/>
      <family val="2"/>
    </font>
    <font>
      <b/>
      <sz val="10.5"/>
      <color theme="2" tint="-0.249977111117893"/>
      <name val="Arial"/>
      <family val="2"/>
    </font>
    <font>
      <b/>
      <vertAlign val="subscript"/>
      <sz val="10.5"/>
      <color theme="2" tint="-0.249977111117893"/>
      <name val="Arial"/>
      <family val="2"/>
    </font>
    <font>
      <b/>
      <sz val="12"/>
      <color rgb="FFE73088"/>
      <name val="Arial"/>
      <family val="2"/>
    </font>
    <font>
      <b/>
      <i/>
      <sz val="9"/>
      <color theme="1"/>
      <name val="Arial"/>
      <family val="2"/>
    </font>
    <font>
      <b/>
      <vertAlign val="subscript"/>
      <sz val="10.5"/>
      <color theme="2" tint="-0.24994659260841701"/>
      <name val="Arial"/>
      <family val="2"/>
    </font>
    <font>
      <sz val="14"/>
      <color theme="8" tint="-0.499984740745262"/>
      <name val="Arial"/>
      <family val="2"/>
    </font>
    <font>
      <i/>
      <sz val="10.5"/>
      <color theme="1"/>
      <name val="Arial"/>
      <family val="2"/>
    </font>
    <font>
      <sz val="10.5"/>
      <color theme="8" tint="-0.499984740745262"/>
      <name val="Arial"/>
      <family val="2"/>
    </font>
    <font>
      <i/>
      <sz val="10.5"/>
      <color theme="8" tint="-0.499984740745262"/>
      <name val="Arial"/>
      <family val="2"/>
    </font>
    <font>
      <b/>
      <sz val="20"/>
      <color theme="1"/>
      <name val="Arial"/>
      <family val="2"/>
    </font>
    <font>
      <b/>
      <sz val="10.5"/>
      <color theme="4" tint="-0.499984740745262"/>
      <name val="Arial"/>
      <family val="2"/>
    </font>
    <font>
      <b/>
      <sz val="10.5"/>
      <color rgb="FFFF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.5"/>
      <color rgb="FFFFFFFF"/>
      <name val="Arial"/>
      <family val="2"/>
    </font>
    <font>
      <sz val="10.5"/>
      <name val="Arial"/>
      <family val="1"/>
      <charset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11.5"/>
      <color rgb="FFFFFFFF"/>
      <name val="Arial"/>
      <family val="2"/>
    </font>
    <font>
      <b/>
      <i/>
      <sz val="10.5"/>
      <color theme="1"/>
      <name val="Arial"/>
      <family val="2"/>
    </font>
    <font>
      <b/>
      <sz val="11.5"/>
      <color theme="1"/>
      <name val="Arial"/>
      <family val="2"/>
    </font>
    <font>
      <b/>
      <u/>
      <sz val="10.5"/>
      <color rgb="FFCE186F"/>
      <name val="Arial"/>
      <family val="2"/>
    </font>
    <font>
      <sz val="10.5"/>
      <color rgb="FFCE186F"/>
      <name val="Arial"/>
      <family val="2"/>
    </font>
    <font>
      <b/>
      <sz val="10.5"/>
      <color rgb="FFCE186F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rgb="FFB6D7FF"/>
        <bgColor indexed="64"/>
      </patternFill>
    </fill>
    <fill>
      <patternFill patternType="solid">
        <fgColor rgb="FF81C8A6"/>
        <bgColor indexed="64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7FC6A4"/>
        <bgColor indexed="64"/>
      </patternFill>
    </fill>
    <fill>
      <patternFill patternType="solid">
        <fgColor rgb="FFB1D6A9"/>
        <bgColor indexed="64"/>
      </patternFill>
    </fill>
    <fill>
      <patternFill patternType="solid">
        <fgColor rgb="FF818284"/>
        <bgColor indexed="64"/>
      </patternFill>
    </fill>
    <fill>
      <patternFill patternType="solid">
        <fgColor rgb="FFFCBB7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B8D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7308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AD6E7"/>
        <bgColor indexed="64"/>
      </patternFill>
    </fill>
    <fill>
      <patternFill patternType="solid">
        <fgColor rgb="FFCE186F"/>
        <bgColor indexed="64"/>
      </patternFill>
    </fill>
    <fill>
      <patternFill patternType="solid">
        <fgColor rgb="FFFEE6CE"/>
        <bgColor indexed="64"/>
      </patternFill>
    </fill>
  </fills>
  <borders count="1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3" tint="9.9978637043366805E-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 style="thick">
        <color theme="3"/>
      </left>
      <right/>
      <top/>
      <bottom/>
      <diagonal/>
    </border>
    <border>
      <left style="thick">
        <color theme="3"/>
      </left>
      <right/>
      <top/>
      <bottom style="thick">
        <color theme="3"/>
      </bottom>
      <diagonal/>
    </border>
    <border>
      <left/>
      <right/>
      <top/>
      <bottom style="thick">
        <color theme="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theme="7" tint="-0.499984740745262"/>
      </left>
      <right/>
      <top/>
      <bottom style="medium">
        <color indexed="64"/>
      </bottom>
      <diagonal/>
    </border>
    <border>
      <left/>
      <right style="thin">
        <color theme="7" tint="-0.499984740745262"/>
      </right>
      <top/>
      <bottom style="medium">
        <color indexed="64"/>
      </bottom>
      <diagonal/>
    </border>
    <border>
      <left style="thin">
        <color theme="7" tint="-0.499984740745262"/>
      </left>
      <right/>
      <top style="medium">
        <color indexed="64"/>
      </top>
      <bottom style="thin">
        <color indexed="64"/>
      </bottom>
      <diagonal/>
    </border>
    <border>
      <left/>
      <right style="thick">
        <color theme="3"/>
      </right>
      <top/>
      <bottom/>
      <diagonal/>
    </border>
    <border>
      <left style="medium">
        <color indexed="64"/>
      </left>
      <right/>
      <top style="thin">
        <color theme="7" tint="-0.499984740745262"/>
      </top>
      <bottom style="medium">
        <color indexed="64"/>
      </bottom>
      <diagonal/>
    </border>
    <border>
      <left/>
      <right/>
      <top style="thin">
        <color theme="7" tint="-0.49998474074526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3" tint="9.9978637043366805E-2"/>
      </bottom>
      <diagonal/>
    </border>
    <border>
      <left style="medium">
        <color indexed="64"/>
      </left>
      <right/>
      <top style="medium">
        <color indexed="64"/>
      </top>
      <bottom style="thin">
        <color theme="3" tint="9.9978637043366805E-2"/>
      </bottom>
      <diagonal/>
    </border>
    <border>
      <left/>
      <right/>
      <top style="medium">
        <color indexed="64"/>
      </top>
      <bottom style="thin">
        <color theme="3" tint="9.9978637043366805E-2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theme="3"/>
      </right>
      <top/>
      <bottom/>
      <diagonal/>
    </border>
    <border>
      <left/>
      <right style="medium">
        <color theme="3" tint="9.9978637043366805E-2"/>
      </right>
      <top style="thick">
        <color theme="3"/>
      </top>
      <bottom/>
      <diagonal/>
    </border>
    <border>
      <left/>
      <right style="medium">
        <color theme="3" tint="9.9978637043366805E-2"/>
      </right>
      <top/>
      <bottom style="thick">
        <color theme="3"/>
      </bottom>
      <diagonal/>
    </border>
    <border>
      <left style="medium">
        <color theme="3" tint="9.9978637043366805E-2"/>
      </left>
      <right style="thick">
        <color theme="3"/>
      </right>
      <top style="thick">
        <color theme="3"/>
      </top>
      <bottom/>
      <diagonal/>
    </border>
    <border>
      <left style="medium">
        <color theme="3" tint="9.9978637043366805E-2"/>
      </left>
      <right style="thick">
        <color theme="3"/>
      </right>
      <top/>
      <bottom/>
      <diagonal/>
    </border>
    <border>
      <left style="medium">
        <color theme="3" tint="9.9978637043366805E-2"/>
      </left>
      <right style="thick">
        <color theme="3"/>
      </right>
      <top/>
      <bottom style="thick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medium">
        <color indexed="64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medium">
        <color theme="3"/>
      </top>
      <bottom style="thin">
        <color theme="3"/>
      </bottom>
      <diagonal/>
    </border>
    <border>
      <left style="thin">
        <color indexed="64"/>
      </left>
      <right/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 style="thin">
        <color theme="3"/>
      </bottom>
      <diagonal/>
    </border>
    <border>
      <left/>
      <right style="thin">
        <color indexed="64"/>
      </right>
      <top style="medium">
        <color indexed="64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/>
      <right style="medium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indexed="64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 style="thin">
        <color indexed="64"/>
      </bottom>
      <diagonal/>
    </border>
    <border>
      <left style="medium">
        <color theme="3"/>
      </left>
      <right style="medium">
        <color theme="3"/>
      </right>
      <top style="medium">
        <color indexed="64"/>
      </top>
      <bottom style="medium">
        <color theme="3"/>
      </bottom>
      <diagonal/>
    </border>
    <border>
      <left style="medium">
        <color theme="3"/>
      </left>
      <right style="thin">
        <color indexed="64"/>
      </right>
      <top style="medium">
        <color theme="3"/>
      </top>
      <bottom style="thin">
        <color theme="3"/>
      </bottom>
      <diagonal/>
    </border>
    <border>
      <left style="medium">
        <color indexed="64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3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 style="medium">
        <color indexed="64"/>
      </left>
      <right style="medium">
        <color indexed="64"/>
      </right>
      <top/>
      <bottom style="thin">
        <color theme="3"/>
      </bottom>
      <diagonal/>
    </border>
    <border>
      <left/>
      <right style="thin">
        <color theme="7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FF99FF"/>
      </left>
      <right/>
      <top style="medium">
        <color rgb="FFFF99FF"/>
      </top>
      <bottom style="medium">
        <color rgb="FFFF99FF"/>
      </bottom>
      <diagonal/>
    </border>
    <border>
      <left/>
      <right style="medium">
        <color rgb="FFFF99FF"/>
      </right>
      <top style="medium">
        <color rgb="FFFF99FF"/>
      </top>
      <bottom style="medium">
        <color rgb="FFFF99FF"/>
      </bottom>
      <diagonal/>
    </border>
    <border>
      <left style="medium">
        <color rgb="FF9933FF"/>
      </left>
      <right/>
      <top style="medium">
        <color rgb="FF9933FF"/>
      </top>
      <bottom style="medium">
        <color rgb="FF9933FF"/>
      </bottom>
      <diagonal/>
    </border>
    <border>
      <left/>
      <right style="medium">
        <color rgb="FF9933FF"/>
      </right>
      <top style="medium">
        <color rgb="FF9933FF"/>
      </top>
      <bottom style="medium">
        <color rgb="FF9933FF"/>
      </bottom>
      <diagonal/>
    </border>
    <border>
      <left/>
      <right style="medium">
        <color theme="3"/>
      </right>
      <top style="medium">
        <color theme="3"/>
      </top>
      <bottom style="thin">
        <color indexed="64"/>
      </bottom>
      <diagonal/>
    </border>
    <border>
      <left/>
      <right style="medium">
        <color theme="3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/>
      <top/>
      <bottom style="thin">
        <color theme="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thin">
        <color indexed="64"/>
      </left>
      <right style="thin">
        <color indexed="64"/>
      </right>
      <top style="medium">
        <color theme="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theme="3"/>
      </bottom>
      <diagonal/>
    </border>
    <border>
      <left style="thick">
        <color theme="3"/>
      </left>
      <right style="thick">
        <color theme="3"/>
      </right>
      <top style="thick">
        <color theme="3"/>
      </top>
      <bottom/>
      <diagonal/>
    </border>
    <border>
      <left style="thick">
        <color theme="3"/>
      </left>
      <right style="thick">
        <color theme="3"/>
      </right>
      <top/>
      <bottom/>
      <diagonal/>
    </border>
    <border>
      <left style="thick">
        <color theme="3"/>
      </left>
      <right style="thick">
        <color theme="3"/>
      </right>
      <top/>
      <bottom style="thick">
        <color theme="3"/>
      </bottom>
      <diagonal/>
    </border>
    <border>
      <left/>
      <right style="thick">
        <color theme="3"/>
      </right>
      <top style="thick">
        <color theme="3"/>
      </top>
      <bottom/>
      <diagonal/>
    </border>
    <border>
      <left/>
      <right style="thick">
        <color theme="3"/>
      </right>
      <top/>
      <bottom style="thick">
        <color theme="3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3"/>
      </top>
      <bottom style="thin">
        <color indexed="64"/>
      </bottom>
      <diagonal/>
    </border>
    <border>
      <left style="medium">
        <color indexed="64"/>
      </left>
      <right/>
      <top style="thin">
        <color theme="3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theme="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2">
    <xf numFmtId="0" fontId="0" fillId="0" borderId="0" xfId="0"/>
    <xf numFmtId="0" fontId="4" fillId="0" borderId="0" xfId="0" applyFont="1" applyAlignment="1">
      <alignment vertical="center"/>
    </xf>
    <xf numFmtId="0" fontId="4" fillId="17" borderId="0" xfId="0" applyFont="1" applyFill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18" borderId="0" xfId="0" applyFont="1" applyFill="1" applyAlignment="1">
      <alignment horizontal="left" vertical="center" indent="1"/>
    </xf>
    <xf numFmtId="0" fontId="9" fillId="18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5" fillId="17" borderId="0" xfId="0" applyFont="1" applyFill="1" applyAlignment="1">
      <alignment horizontal="center" vertical="center"/>
    </xf>
    <xf numFmtId="0" fontId="17" fillId="16" borderId="0" xfId="0" applyFont="1" applyFill="1" applyAlignment="1">
      <alignment vertical="center"/>
    </xf>
    <xf numFmtId="0" fontId="4" fillId="0" borderId="50" xfId="0" applyFont="1" applyBorder="1" applyAlignment="1">
      <alignment vertical="center"/>
    </xf>
    <xf numFmtId="0" fontId="10" fillId="0" borderId="31" xfId="0" applyFont="1" applyBorder="1" applyAlignment="1">
      <alignment horizontal="left" vertical="center" indent="1"/>
    </xf>
    <xf numFmtId="0" fontId="10" fillId="0" borderId="32" xfId="0" applyFont="1" applyBorder="1" applyAlignment="1">
      <alignment horizontal="left" vertical="center" indent="1"/>
    </xf>
    <xf numFmtId="0" fontId="10" fillId="0" borderId="72" xfId="0" applyFont="1" applyBorder="1" applyAlignment="1">
      <alignment horizontal="left" vertical="center" indent="1"/>
    </xf>
    <xf numFmtId="0" fontId="10" fillId="0" borderId="73" xfId="0" applyFont="1" applyBorder="1" applyAlignment="1">
      <alignment horizontal="left" vertical="center" indent="1"/>
    </xf>
    <xf numFmtId="0" fontId="4" fillId="0" borderId="32" xfId="0" applyFont="1" applyBorder="1" applyAlignment="1">
      <alignment vertical="center"/>
    </xf>
    <xf numFmtId="0" fontId="10" fillId="0" borderId="39" xfId="0" applyFont="1" applyBorder="1" applyAlignment="1">
      <alignment horizontal="left" vertical="center" indent="1"/>
    </xf>
    <xf numFmtId="0" fontId="10" fillId="0" borderId="40" xfId="0" applyFont="1" applyBorder="1" applyAlignment="1">
      <alignment horizontal="left" vertical="center" indent="1"/>
    </xf>
    <xf numFmtId="0" fontId="10" fillId="0" borderId="103" xfId="0" applyFont="1" applyBorder="1" applyAlignment="1">
      <alignment horizontal="left" vertical="center" indent="1"/>
    </xf>
    <xf numFmtId="0" fontId="10" fillId="0" borderId="0" xfId="0" applyFont="1" applyAlignment="1">
      <alignment vertical="center"/>
    </xf>
    <xf numFmtId="0" fontId="10" fillId="0" borderId="52" xfId="0" applyFont="1" applyBorder="1" applyAlignment="1">
      <alignment horizontal="left" vertical="center" indent="1"/>
    </xf>
    <xf numFmtId="0" fontId="10" fillId="0" borderId="50" xfId="0" applyFont="1" applyBorder="1" applyAlignment="1">
      <alignment horizontal="left" vertical="center" indent="1"/>
    </xf>
    <xf numFmtId="0" fontId="10" fillId="0" borderId="69" xfId="0" applyFont="1" applyBorder="1" applyAlignment="1">
      <alignment horizontal="left" vertical="center" indent="1"/>
    </xf>
    <xf numFmtId="0" fontId="19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19" fillId="6" borderId="1" xfId="0" applyFont="1" applyFill="1" applyBorder="1" applyAlignment="1">
      <alignment horizontal="center" vertical="center"/>
    </xf>
    <xf numFmtId="0" fontId="10" fillId="0" borderId="51" xfId="0" applyFont="1" applyBorder="1" applyAlignment="1">
      <alignment horizontal="left" vertical="center" indent="1"/>
    </xf>
    <xf numFmtId="0" fontId="10" fillId="0" borderId="30" xfId="0" applyFont="1" applyBorder="1" applyAlignment="1">
      <alignment vertical="center"/>
    </xf>
    <xf numFmtId="0" fontId="19" fillId="7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inden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0" fillId="16" borderId="0" xfId="0" applyFont="1" applyFill="1" applyAlignment="1">
      <alignment vertical="center"/>
    </xf>
    <xf numFmtId="0" fontId="4" fillId="16" borderId="0" xfId="0" applyFont="1" applyFill="1" applyAlignment="1">
      <alignment vertical="center"/>
    </xf>
    <xf numFmtId="0" fontId="16" fillId="0" borderId="0" xfId="0" applyFont="1" applyAlignment="1">
      <alignment horizontal="left" vertical="center" indent="1"/>
    </xf>
    <xf numFmtId="0" fontId="12" fillId="3" borderId="0" xfId="0" applyFont="1" applyFill="1" applyAlignment="1">
      <alignment horizontal="left" vertical="center" indent="1"/>
    </xf>
    <xf numFmtId="0" fontId="21" fillId="3" borderId="0" xfId="0" applyFont="1" applyFill="1" applyAlignment="1">
      <alignment vertical="center"/>
    </xf>
    <xf numFmtId="0" fontId="22" fillId="3" borderId="0" xfId="0" applyFont="1" applyFill="1" applyAlignment="1">
      <alignment horizontal="left" vertical="center" indent="1"/>
    </xf>
    <xf numFmtId="0" fontId="24" fillId="3" borderId="0" xfId="0" applyFont="1" applyFill="1" applyAlignment="1">
      <alignment vertical="center"/>
    </xf>
    <xf numFmtId="0" fontId="22" fillId="20" borderId="39" xfId="0" applyFont="1" applyFill="1" applyBorder="1" applyAlignment="1">
      <alignment horizontal="centerContinuous" vertical="center" wrapText="1"/>
    </xf>
    <xf numFmtId="0" fontId="22" fillId="20" borderId="40" xfId="0" applyFont="1" applyFill="1" applyBorder="1" applyAlignment="1">
      <alignment horizontal="centerContinuous" vertical="center" wrapText="1"/>
    </xf>
    <xf numFmtId="0" fontId="22" fillId="20" borderId="41" xfId="0" applyFont="1" applyFill="1" applyBorder="1" applyAlignment="1">
      <alignment horizontal="centerContinuous" vertical="center" wrapText="1"/>
    </xf>
    <xf numFmtId="0" fontId="22" fillId="4" borderId="22" xfId="0" applyFont="1" applyFill="1" applyBorder="1" applyAlignment="1">
      <alignment horizontal="centerContinuous" vertical="center"/>
    </xf>
    <xf numFmtId="0" fontId="22" fillId="4" borderId="15" xfId="0" applyFont="1" applyFill="1" applyBorder="1" applyAlignment="1">
      <alignment horizontal="centerContinuous" vertical="center"/>
    </xf>
    <xf numFmtId="0" fontId="22" fillId="4" borderId="16" xfId="0" applyFont="1" applyFill="1" applyBorder="1" applyAlignment="1">
      <alignment horizontal="centerContinuous" vertical="center"/>
    </xf>
    <xf numFmtId="0" fontId="4" fillId="18" borderId="39" xfId="0" applyFont="1" applyFill="1" applyBorder="1" applyAlignment="1">
      <alignment vertical="center"/>
    </xf>
    <xf numFmtId="0" fontId="10" fillId="18" borderId="40" xfId="0" applyFont="1" applyFill="1" applyBorder="1" applyAlignment="1">
      <alignment horizontal="center" vertical="center"/>
    </xf>
    <xf numFmtId="0" fontId="4" fillId="18" borderId="4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21" borderId="46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14" borderId="22" xfId="0" applyFont="1" applyFill="1" applyBorder="1" applyAlignment="1">
      <alignment horizontal="center" vertical="center"/>
    </xf>
    <xf numFmtId="3" fontId="4" fillId="8" borderId="46" xfId="0" applyNumberFormat="1" applyFont="1" applyFill="1" applyBorder="1" applyAlignment="1">
      <alignment horizontal="center" vertical="center"/>
    </xf>
    <xf numFmtId="3" fontId="4" fillId="8" borderId="5" xfId="0" applyNumberFormat="1" applyFont="1" applyFill="1" applyBorder="1" applyAlignment="1">
      <alignment horizontal="center" vertical="center"/>
    </xf>
    <xf numFmtId="3" fontId="4" fillId="8" borderId="6" xfId="0" applyNumberFormat="1" applyFont="1" applyFill="1" applyBorder="1" applyAlignment="1">
      <alignment horizontal="center" vertical="center"/>
    </xf>
    <xf numFmtId="3" fontId="4" fillId="8" borderId="66" xfId="0" applyNumberFormat="1" applyFont="1" applyFill="1" applyBorder="1" applyAlignment="1">
      <alignment horizontal="center" vertical="center"/>
    </xf>
    <xf numFmtId="3" fontId="4" fillId="3" borderId="22" xfId="0" applyNumberFormat="1" applyFont="1" applyFill="1" applyBorder="1" applyAlignment="1">
      <alignment horizontal="center" vertical="center"/>
    </xf>
    <xf numFmtId="3" fontId="4" fillId="3" borderId="15" xfId="0" applyNumberFormat="1" applyFont="1" applyFill="1" applyBorder="1" applyAlignment="1">
      <alignment horizontal="center" vertical="center"/>
    </xf>
    <xf numFmtId="4" fontId="4" fillId="3" borderId="16" xfId="0" applyNumberFormat="1" applyFont="1" applyFill="1" applyBorder="1" applyAlignment="1">
      <alignment horizontal="center" vertical="center"/>
    </xf>
    <xf numFmtId="0" fontId="10" fillId="14" borderId="23" xfId="0" applyFont="1" applyFill="1" applyBorder="1" applyAlignment="1">
      <alignment horizontal="center" vertical="center"/>
    </xf>
    <xf numFmtId="3" fontId="4" fillId="8" borderId="4" xfId="0" applyNumberFormat="1" applyFont="1" applyFill="1" applyBorder="1" applyAlignment="1">
      <alignment horizontal="center" vertical="center"/>
    </xf>
    <xf numFmtId="3" fontId="4" fillId="8" borderId="1" xfId="0" applyNumberFormat="1" applyFont="1" applyFill="1" applyBorder="1" applyAlignment="1">
      <alignment horizontal="center" vertical="center"/>
    </xf>
    <xf numFmtId="3" fontId="4" fillId="8" borderId="21" xfId="0" applyNumberFormat="1" applyFont="1" applyFill="1" applyBorder="1" applyAlignment="1">
      <alignment horizontal="center" vertical="center"/>
    </xf>
    <xf numFmtId="3" fontId="4" fillId="3" borderId="23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4" fontId="4" fillId="3" borderId="17" xfId="0" applyNumberFormat="1" applyFont="1" applyFill="1" applyBorder="1" applyAlignment="1">
      <alignment horizontal="center" vertical="center"/>
    </xf>
    <xf numFmtId="0" fontId="10" fillId="14" borderId="23" xfId="0" applyFont="1" applyFill="1" applyBorder="1" applyAlignment="1">
      <alignment horizontal="center" vertical="center" wrapText="1"/>
    </xf>
    <xf numFmtId="0" fontId="10" fillId="14" borderId="24" xfId="0" applyFont="1" applyFill="1" applyBorder="1" applyAlignment="1">
      <alignment horizontal="center" vertical="center"/>
    </xf>
    <xf numFmtId="3" fontId="4" fillId="8" borderId="18" xfId="0" applyNumberFormat="1" applyFont="1" applyFill="1" applyBorder="1" applyAlignment="1">
      <alignment horizontal="center" vertical="center"/>
    </xf>
    <xf numFmtId="3" fontId="4" fillId="8" borderId="19" xfId="0" applyNumberFormat="1" applyFont="1" applyFill="1" applyBorder="1" applyAlignment="1">
      <alignment horizontal="center" vertical="center"/>
    </xf>
    <xf numFmtId="3" fontId="4" fillId="8" borderId="54" xfId="0" applyNumberFormat="1" applyFont="1" applyFill="1" applyBorder="1" applyAlignment="1">
      <alignment horizontal="center" vertical="center"/>
    </xf>
    <xf numFmtId="3" fontId="4" fillId="3" borderId="24" xfId="0" applyNumberFormat="1" applyFont="1" applyFill="1" applyBorder="1" applyAlignment="1">
      <alignment horizontal="center" vertical="center"/>
    </xf>
    <xf numFmtId="3" fontId="4" fillId="3" borderId="19" xfId="0" applyNumberFormat="1" applyFont="1" applyFill="1" applyBorder="1" applyAlignment="1">
      <alignment horizontal="center" vertical="center"/>
    </xf>
    <xf numFmtId="4" fontId="4" fillId="3" borderId="20" xfId="0" applyNumberFormat="1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left" vertical="center" indent="1"/>
    </xf>
    <xf numFmtId="0" fontId="10" fillId="4" borderId="30" xfId="0" applyFont="1" applyFill="1" applyBorder="1" applyAlignment="1">
      <alignment vertical="center"/>
    </xf>
    <xf numFmtId="3" fontId="10" fillId="4" borderId="9" xfId="0" applyNumberFormat="1" applyFont="1" applyFill="1" applyBorder="1" applyAlignment="1">
      <alignment horizontal="center" vertical="center"/>
    </xf>
    <xf numFmtId="3" fontId="10" fillId="4" borderId="25" xfId="0" applyNumberFormat="1" applyFont="1" applyFill="1" applyBorder="1" applyAlignment="1">
      <alignment horizontal="center" vertical="center"/>
    </xf>
    <xf numFmtId="3" fontId="10" fillId="4" borderId="26" xfId="0" applyNumberFormat="1" applyFont="1" applyFill="1" applyBorder="1" applyAlignment="1">
      <alignment horizontal="center" vertical="center"/>
    </xf>
    <xf numFmtId="3" fontId="10" fillId="4" borderId="63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/>
    </xf>
    <xf numFmtId="3" fontId="10" fillId="4" borderId="44" xfId="0" applyNumberFormat="1" applyFont="1" applyFill="1" applyBorder="1" applyAlignment="1">
      <alignment horizontal="center" vertical="center"/>
    </xf>
    <xf numFmtId="4" fontId="10" fillId="4" borderId="9" xfId="0" applyNumberFormat="1" applyFont="1" applyFill="1" applyBorder="1" applyAlignment="1">
      <alignment horizontal="center" vertical="center"/>
    </xf>
    <xf numFmtId="0" fontId="10" fillId="0" borderId="75" xfId="0" applyFont="1" applyBorder="1" applyAlignment="1">
      <alignment horizontal="centerContinuous" vertical="center"/>
    </xf>
    <xf numFmtId="0" fontId="10" fillId="0" borderId="76" xfId="0" applyFont="1" applyBorder="1" applyAlignment="1">
      <alignment horizontal="centerContinuous" vertical="center"/>
    </xf>
    <xf numFmtId="0" fontId="10" fillId="0" borderId="74" xfId="0" applyFont="1" applyBorder="1" applyAlignment="1">
      <alignment horizontal="centerContinuous" vertical="center"/>
    </xf>
    <xf numFmtId="2" fontId="4" fillId="2" borderId="25" xfId="0" applyNumberFormat="1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/>
    </xf>
    <xf numFmtId="2" fontId="4" fillId="2" borderId="77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5" fillId="17" borderId="133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left" vertical="center" indent="1"/>
    </xf>
    <xf numFmtId="0" fontId="4" fillId="0" borderId="30" xfId="0" applyFont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4" borderId="40" xfId="0" applyFont="1" applyFill="1" applyBorder="1" applyAlignment="1">
      <alignment horizontal="centerContinuous" vertical="center"/>
    </xf>
    <xf numFmtId="0" fontId="10" fillId="4" borderId="39" xfId="0" applyFont="1" applyFill="1" applyBorder="1" applyAlignment="1">
      <alignment horizontal="centerContinuous" vertical="center"/>
    </xf>
    <xf numFmtId="0" fontId="10" fillId="4" borderId="41" xfId="0" applyFont="1" applyFill="1" applyBorder="1" applyAlignment="1">
      <alignment horizontal="centerContinuous" vertical="center"/>
    </xf>
    <xf numFmtId="0" fontId="10" fillId="18" borderId="39" xfId="0" applyFont="1" applyFill="1" applyBorder="1" applyAlignment="1">
      <alignment horizontal="centerContinuous" vertical="center"/>
    </xf>
    <xf numFmtId="0" fontId="10" fillId="18" borderId="40" xfId="0" applyFont="1" applyFill="1" applyBorder="1" applyAlignment="1">
      <alignment horizontal="centerContinuous" vertical="center"/>
    </xf>
    <xf numFmtId="0" fontId="10" fillId="18" borderId="78" xfId="0" applyFont="1" applyFill="1" applyBorder="1" applyAlignment="1">
      <alignment horizontal="centerContinuous" vertical="center"/>
    </xf>
    <xf numFmtId="0" fontId="4" fillId="18" borderId="10" xfId="0" applyFont="1" applyFill="1" applyBorder="1" applyAlignment="1">
      <alignment horizontal="centerContinuous" vertical="center"/>
    </xf>
    <xf numFmtId="0" fontId="21" fillId="0" borderId="64" xfId="0" applyFont="1" applyBorder="1" applyAlignment="1">
      <alignment vertical="center"/>
    </xf>
    <xf numFmtId="0" fontId="22" fillId="0" borderId="36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" fontId="4" fillId="3" borderId="6" xfId="0" applyNumberFormat="1" applyFont="1" applyFill="1" applyBorder="1" applyAlignment="1">
      <alignment horizontal="center" vertical="center"/>
    </xf>
    <xf numFmtId="164" fontId="4" fillId="3" borderId="29" xfId="0" applyNumberFormat="1" applyFont="1" applyFill="1" applyBorder="1" applyAlignment="1">
      <alignment horizontal="center" vertical="center"/>
    </xf>
    <xf numFmtId="0" fontId="4" fillId="3" borderId="61" xfId="0" applyFont="1" applyFill="1" applyBorder="1" applyAlignment="1">
      <alignment horizontal="left" vertical="center" indent="1"/>
    </xf>
    <xf numFmtId="0" fontId="4" fillId="3" borderId="62" xfId="0" applyFont="1" applyFill="1" applyBorder="1" applyAlignment="1">
      <alignment vertical="center"/>
    </xf>
    <xf numFmtId="11" fontId="4" fillId="0" borderId="4" xfId="0" applyNumberFormat="1" applyFont="1" applyBorder="1" applyAlignment="1">
      <alignment horizontal="center" vertical="center"/>
    </xf>
    <xf numFmtId="11" fontId="4" fillId="0" borderId="6" xfId="0" applyNumberFormat="1" applyFont="1" applyBorder="1" applyAlignment="1">
      <alignment horizontal="center" vertical="center"/>
    </xf>
    <xf numFmtId="164" fontId="4" fillId="3" borderId="28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9" fontId="10" fillId="3" borderId="14" xfId="1" applyFont="1" applyFill="1" applyBorder="1" applyAlignment="1">
      <alignment horizontal="center" vertical="center"/>
    </xf>
    <xf numFmtId="164" fontId="4" fillId="3" borderId="46" xfId="0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left" vertical="center" indent="1"/>
    </xf>
    <xf numFmtId="0" fontId="4" fillId="3" borderId="33" xfId="0" applyFont="1" applyFill="1" applyBorder="1" applyAlignment="1">
      <alignment vertical="center"/>
    </xf>
    <xf numFmtId="11" fontId="4" fillId="0" borderId="1" xfId="0" applyNumberFormat="1" applyFont="1" applyBorder="1" applyAlignment="1">
      <alignment horizontal="center" vertical="center"/>
    </xf>
    <xf numFmtId="9" fontId="10" fillId="3" borderId="5" xfId="1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left" vertical="center" indent="1"/>
    </xf>
    <xf numFmtId="0" fontId="12" fillId="3" borderId="33" xfId="0" applyFont="1" applyFill="1" applyBorder="1" applyAlignment="1">
      <alignment vertical="center" wrapText="1"/>
    </xf>
    <xf numFmtId="0" fontId="12" fillId="3" borderId="33" xfId="0" applyFont="1" applyFill="1" applyBorder="1" applyAlignment="1">
      <alignment vertical="center"/>
    </xf>
    <xf numFmtId="0" fontId="10" fillId="4" borderId="12" xfId="0" applyFont="1" applyFill="1" applyBorder="1" applyAlignment="1">
      <alignment horizontal="center" vertical="center"/>
    </xf>
    <xf numFmtId="164" fontId="4" fillId="3" borderId="66" xfId="0" applyNumberFormat="1" applyFont="1" applyFill="1" applyBorder="1" applyAlignment="1">
      <alignment horizontal="center" vertical="center"/>
    </xf>
    <xf numFmtId="9" fontId="10" fillId="3" borderId="19" xfId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164" fontId="10" fillId="4" borderId="44" xfId="0" applyNumberFormat="1" applyFont="1" applyFill="1" applyBorder="1" applyAlignment="1">
      <alignment horizontal="center" vertical="center"/>
    </xf>
    <xf numFmtId="1" fontId="10" fillId="4" borderId="44" xfId="0" applyNumberFormat="1" applyFont="1" applyFill="1" applyBorder="1" applyAlignment="1">
      <alignment horizontal="center" vertical="center"/>
    </xf>
    <xf numFmtId="0" fontId="4" fillId="4" borderId="8" xfId="0" quotePrefix="1" applyFont="1" applyFill="1" applyBorder="1" applyAlignment="1">
      <alignment horizontal="center" vertical="center"/>
    </xf>
    <xf numFmtId="0" fontId="4" fillId="4" borderId="51" xfId="0" quotePrefix="1" applyFont="1" applyFill="1" applyBorder="1" applyAlignment="1">
      <alignment horizontal="left" vertical="center" indent="1"/>
    </xf>
    <xf numFmtId="0" fontId="4" fillId="4" borderId="30" xfId="0" applyFont="1" applyFill="1" applyBorder="1" applyAlignment="1">
      <alignment horizontal="left" vertical="center" indent="1"/>
    </xf>
    <xf numFmtId="0" fontId="4" fillId="4" borderId="44" xfId="0" applyFont="1" applyFill="1" applyBorder="1" applyAlignment="1">
      <alignment horizontal="left" vertical="center" indent="1"/>
    </xf>
    <xf numFmtId="0" fontId="4" fillId="4" borderId="44" xfId="0" quotePrefix="1" applyFont="1" applyFill="1" applyBorder="1" applyAlignment="1">
      <alignment horizontal="center" vertical="center"/>
    </xf>
    <xf numFmtId="165" fontId="10" fillId="4" borderId="9" xfId="0" applyNumberFormat="1" applyFont="1" applyFill="1" applyBorder="1" applyAlignment="1">
      <alignment horizontal="center" vertical="center"/>
    </xf>
    <xf numFmtId="164" fontId="10" fillId="4" borderId="7" xfId="0" applyNumberFormat="1" applyFont="1" applyFill="1" applyBorder="1" applyAlignment="1">
      <alignment horizontal="center" vertical="center"/>
    </xf>
    <xf numFmtId="164" fontId="10" fillId="4" borderId="47" xfId="0" applyNumberFormat="1" applyFont="1" applyFill="1" applyBorder="1" applyAlignment="1">
      <alignment horizontal="center" vertical="center"/>
    </xf>
    <xf numFmtId="0" fontId="4" fillId="4" borderId="47" xfId="0" quotePrefix="1" applyFont="1" applyFill="1" applyBorder="1" applyAlignment="1">
      <alignment horizontal="center" vertical="center"/>
    </xf>
    <xf numFmtId="164" fontId="10" fillId="4" borderId="9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indent="1"/>
    </xf>
    <xf numFmtId="0" fontId="32" fillId="3" borderId="0" xfId="0" applyFont="1" applyFill="1" applyAlignment="1">
      <alignment vertical="center"/>
    </xf>
    <xf numFmtId="0" fontId="33" fillId="0" borderId="0" xfId="0" applyFont="1" applyAlignment="1">
      <alignment horizontal="left" vertical="center" indent="1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10" fillId="0" borderId="39" xfId="0" applyFont="1" applyBorder="1" applyAlignment="1">
      <alignment horizontal="centerContinuous" vertical="center"/>
    </xf>
    <xf numFmtId="0" fontId="10" fillId="0" borderId="40" xfId="0" applyFont="1" applyBorder="1" applyAlignment="1">
      <alignment horizontal="centerContinuous" vertical="center"/>
    </xf>
    <xf numFmtId="0" fontId="4" fillId="0" borderId="40" xfId="0" applyFont="1" applyBorder="1" applyAlignment="1">
      <alignment horizontal="centerContinuous" vertical="center"/>
    </xf>
    <xf numFmtId="0" fontId="10" fillId="0" borderId="41" xfId="0" applyFont="1" applyBorder="1" applyAlignment="1">
      <alignment horizontal="centerContinuous" vertical="center"/>
    </xf>
    <xf numFmtId="0" fontId="4" fillId="0" borderId="61" xfId="0" applyFont="1" applyBorder="1" applyAlignment="1">
      <alignment horizontal="left" vertical="center" indent="1"/>
    </xf>
    <xf numFmtId="0" fontId="4" fillId="0" borderId="6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52" xfId="0" applyFont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" fontId="10" fillId="4" borderId="87" xfId="0" applyNumberFormat="1" applyFont="1" applyFill="1" applyBorder="1" applyAlignment="1">
      <alignment horizontal="center" vertical="center"/>
    </xf>
    <xf numFmtId="0" fontId="10" fillId="4" borderId="85" xfId="0" applyFont="1" applyFill="1" applyBorder="1" applyAlignment="1">
      <alignment horizontal="centerContinuous" vertical="center"/>
    </xf>
    <xf numFmtId="0" fontId="10" fillId="4" borderId="86" xfId="0" applyFont="1" applyFill="1" applyBorder="1" applyAlignment="1">
      <alignment horizontal="centerContinuous" vertical="center"/>
    </xf>
    <xf numFmtId="165" fontId="10" fillId="4" borderId="87" xfId="0" applyNumberFormat="1" applyFont="1" applyFill="1" applyBorder="1" applyAlignment="1">
      <alignment horizontal="center" vertical="center"/>
    </xf>
    <xf numFmtId="0" fontId="4" fillId="0" borderId="59" xfId="0" applyFont="1" applyBorder="1" applyAlignment="1">
      <alignment vertical="center"/>
    </xf>
    <xf numFmtId="0" fontId="10" fillId="0" borderId="42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4" fillId="0" borderId="79" xfId="0" applyFont="1" applyBorder="1" applyAlignment="1">
      <alignment vertical="center"/>
    </xf>
    <xf numFmtId="0" fontId="4" fillId="0" borderId="39" xfId="0" applyFont="1" applyBorder="1" applyAlignment="1">
      <alignment horizontal="left" vertical="center" indent="1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3" fontId="10" fillId="3" borderId="115" xfId="0" applyNumberFormat="1" applyFont="1" applyFill="1" applyBorder="1" applyAlignment="1">
      <alignment horizontal="center" vertical="center"/>
    </xf>
    <xf numFmtId="0" fontId="10" fillId="25" borderId="93" xfId="0" applyFont="1" applyFill="1" applyBorder="1" applyAlignment="1">
      <alignment horizontal="left" vertical="center" indent="1"/>
    </xf>
    <xf numFmtId="0" fontId="10" fillId="25" borderId="90" xfId="0" applyFont="1" applyFill="1" applyBorder="1" applyAlignment="1">
      <alignment vertical="center"/>
    </xf>
    <xf numFmtId="0" fontId="4" fillId="25" borderId="90" xfId="0" applyFont="1" applyFill="1" applyBorder="1" applyAlignment="1">
      <alignment vertical="center"/>
    </xf>
    <xf numFmtId="0" fontId="4" fillId="25" borderId="94" xfId="0" applyFont="1" applyFill="1" applyBorder="1" applyAlignment="1">
      <alignment vertical="center"/>
    </xf>
    <xf numFmtId="0" fontId="4" fillId="0" borderId="71" xfId="0" applyFont="1" applyBorder="1" applyAlignment="1">
      <alignment vertical="center"/>
    </xf>
    <xf numFmtId="0" fontId="4" fillId="0" borderId="67" xfId="0" applyFont="1" applyBorder="1" applyAlignment="1">
      <alignment horizontal="left" vertical="center" indent="1"/>
    </xf>
    <xf numFmtId="0" fontId="4" fillId="0" borderId="67" xfId="0" applyFont="1" applyBorder="1" applyAlignment="1">
      <alignment vertical="center"/>
    </xf>
    <xf numFmtId="0" fontId="4" fillId="0" borderId="138" xfId="0" applyFont="1" applyBorder="1" applyAlignment="1">
      <alignment horizontal="left" vertical="center" indent="2"/>
    </xf>
    <xf numFmtId="0" fontId="10" fillId="0" borderId="137" xfId="0" applyFont="1" applyBorder="1" applyAlignment="1">
      <alignment vertical="center"/>
    </xf>
    <xf numFmtId="165" fontId="10" fillId="3" borderId="27" xfId="0" applyNumberFormat="1" applyFont="1" applyFill="1" applyBorder="1" applyAlignment="1">
      <alignment horizontal="center" vertical="center"/>
    </xf>
    <xf numFmtId="9" fontId="10" fillId="3" borderId="27" xfId="1" applyFont="1" applyFill="1" applyBorder="1" applyAlignment="1">
      <alignment horizontal="center" vertical="center"/>
    </xf>
    <xf numFmtId="0" fontId="4" fillId="0" borderId="46" xfId="0" applyFont="1" applyBorder="1" applyAlignment="1">
      <alignment horizontal="left" vertical="center" indent="1"/>
    </xf>
    <xf numFmtId="0" fontId="4" fillId="0" borderId="37" xfId="0" applyFont="1" applyBorder="1" applyAlignment="1">
      <alignment horizontal="left" vertical="center" indent="2"/>
    </xf>
    <xf numFmtId="0" fontId="10" fillId="0" borderId="33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165" fontId="10" fillId="3" borderId="11" xfId="0" applyNumberFormat="1" applyFont="1" applyFill="1" applyBorder="1" applyAlignment="1">
      <alignment horizontal="center" vertical="center"/>
    </xf>
    <xf numFmtId="0" fontId="4" fillId="0" borderId="46" xfId="0" applyFont="1" applyBorder="1" applyAlignment="1">
      <alignment vertical="center"/>
    </xf>
    <xf numFmtId="3" fontId="10" fillId="3" borderId="116" xfId="0" applyNumberFormat="1" applyFont="1" applyFill="1" applyBorder="1" applyAlignment="1">
      <alignment horizontal="center" vertical="center"/>
    </xf>
    <xf numFmtId="0" fontId="4" fillId="0" borderId="139" xfId="0" applyFont="1" applyBorder="1" applyAlignment="1">
      <alignment horizontal="left" vertical="center" indent="2"/>
    </xf>
    <xf numFmtId="0" fontId="10" fillId="0" borderId="101" xfId="0" applyFont="1" applyBorder="1" applyAlignment="1">
      <alignment vertical="center"/>
    </xf>
    <xf numFmtId="0" fontId="36" fillId="0" borderId="101" xfId="0" applyFont="1" applyBorder="1" applyAlignment="1">
      <alignment horizontal="center" vertical="center"/>
    </xf>
    <xf numFmtId="165" fontId="10" fillId="3" borderId="100" xfId="0" applyNumberFormat="1" applyFont="1" applyFill="1" applyBorder="1" applyAlignment="1">
      <alignment horizontal="center" vertical="center"/>
    </xf>
    <xf numFmtId="0" fontId="4" fillId="0" borderId="37" xfId="0" applyFont="1" applyBorder="1" applyAlignment="1">
      <alignment horizontal="left" vertical="center" indent="1"/>
    </xf>
    <xf numFmtId="0" fontId="4" fillId="0" borderId="38" xfId="0" applyFont="1" applyBorder="1" applyAlignment="1">
      <alignment vertical="center"/>
    </xf>
    <xf numFmtId="0" fontId="10" fillId="25" borderId="64" xfId="0" applyFont="1" applyFill="1" applyBorder="1" applyAlignment="1">
      <alignment horizontal="left" vertical="center" indent="1"/>
    </xf>
    <xf numFmtId="0" fontId="10" fillId="25" borderId="0" xfId="0" applyFont="1" applyFill="1" applyAlignment="1">
      <alignment vertical="center"/>
    </xf>
    <xf numFmtId="165" fontId="10" fillId="25" borderId="43" xfId="0" applyNumberFormat="1" applyFont="1" applyFill="1" applyBorder="1" applyAlignment="1">
      <alignment horizontal="center" vertical="center"/>
    </xf>
    <xf numFmtId="9" fontId="22" fillId="25" borderId="27" xfId="1" applyFont="1" applyFill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10" fillId="2" borderId="98" xfId="0" applyFont="1" applyFill="1" applyBorder="1" applyAlignment="1">
      <alignment horizontal="left" vertical="center" indent="1"/>
    </xf>
    <xf numFmtId="0" fontId="10" fillId="2" borderId="88" xfId="0" applyFont="1" applyFill="1" applyBorder="1" applyAlignment="1">
      <alignment vertical="center"/>
    </xf>
    <xf numFmtId="0" fontId="10" fillId="2" borderId="89" xfId="0" applyFont="1" applyFill="1" applyBorder="1" applyAlignment="1">
      <alignment vertical="center"/>
    </xf>
    <xf numFmtId="0" fontId="10" fillId="2" borderId="90" xfId="0" applyFont="1" applyFill="1" applyBorder="1" applyAlignment="1">
      <alignment vertical="center"/>
    </xf>
    <xf numFmtId="0" fontId="4" fillId="2" borderId="90" xfId="0" applyFont="1" applyFill="1" applyBorder="1" applyAlignment="1">
      <alignment vertical="center"/>
    </xf>
    <xf numFmtId="0" fontId="4" fillId="2" borderId="94" xfId="0" applyFont="1" applyFill="1" applyBorder="1" applyAlignment="1">
      <alignment vertical="center"/>
    </xf>
    <xf numFmtId="0" fontId="12" fillId="0" borderId="121" xfId="0" applyFont="1" applyBorder="1" applyAlignment="1">
      <alignment horizontal="left" vertical="center" wrapText="1" indent="1"/>
    </xf>
    <xf numFmtId="0" fontId="4" fillId="0" borderId="101" xfId="0" applyFont="1" applyBorder="1" applyAlignment="1">
      <alignment vertical="center"/>
    </xf>
    <xf numFmtId="0" fontId="12" fillId="0" borderId="50" xfId="0" applyFont="1" applyBorder="1" applyAlignment="1">
      <alignment horizontal="left" vertical="center" wrapText="1" indent="1"/>
    </xf>
    <xf numFmtId="0" fontId="10" fillId="2" borderId="61" xfId="0" applyFont="1" applyFill="1" applyBorder="1" applyAlignment="1">
      <alignment horizontal="left" vertical="center" indent="1"/>
    </xf>
    <xf numFmtId="0" fontId="10" fillId="2" borderId="62" xfId="0" applyFont="1" applyFill="1" applyBorder="1" applyAlignment="1">
      <alignment vertical="center"/>
    </xf>
    <xf numFmtId="165" fontId="10" fillId="2" borderId="102" xfId="0" applyNumberFormat="1" applyFont="1" applyFill="1" applyBorder="1" applyAlignment="1">
      <alignment horizontal="center" vertical="center"/>
    </xf>
    <xf numFmtId="9" fontId="10" fillId="2" borderId="27" xfId="1" applyFont="1" applyFill="1" applyBorder="1" applyAlignment="1">
      <alignment horizontal="center" vertical="center"/>
    </xf>
    <xf numFmtId="0" fontId="10" fillId="4" borderId="117" xfId="0" applyFont="1" applyFill="1" applyBorder="1" applyAlignment="1">
      <alignment horizontal="left" vertical="center" indent="1"/>
    </xf>
    <xf numFmtId="0" fontId="10" fillId="4" borderId="118" xfId="0" applyFont="1" applyFill="1" applyBorder="1" applyAlignment="1">
      <alignment vertical="center"/>
    </xf>
    <xf numFmtId="0" fontId="10" fillId="4" borderId="119" xfId="0" applyFont="1" applyFill="1" applyBorder="1" applyAlignment="1">
      <alignment vertical="center"/>
    </xf>
    <xf numFmtId="0" fontId="10" fillId="4" borderId="135" xfId="0" applyFont="1" applyFill="1" applyBorder="1" applyAlignment="1">
      <alignment vertical="center"/>
    </xf>
    <xf numFmtId="3" fontId="10" fillId="4" borderId="99" xfId="0" applyNumberFormat="1" applyFont="1" applyFill="1" applyBorder="1" applyAlignment="1">
      <alignment horizontal="center" vertical="center"/>
    </xf>
    <xf numFmtId="165" fontId="10" fillId="4" borderId="3" xfId="0" applyNumberFormat="1" applyFont="1" applyFill="1" applyBorder="1" applyAlignment="1">
      <alignment horizontal="center" vertical="center"/>
    </xf>
    <xf numFmtId="9" fontId="10" fillId="4" borderId="3" xfId="1" applyFont="1" applyFill="1" applyBorder="1" applyAlignment="1">
      <alignment horizontal="center" vertical="center"/>
    </xf>
    <xf numFmtId="0" fontId="10" fillId="4" borderId="52" xfId="0" applyFont="1" applyFill="1" applyBorder="1" applyAlignment="1">
      <alignment horizontal="left" vertical="center" indent="1"/>
    </xf>
    <xf numFmtId="0" fontId="10" fillId="4" borderId="50" xfId="0" applyFont="1" applyFill="1" applyBorder="1" applyAlignment="1">
      <alignment vertical="center"/>
    </xf>
    <xf numFmtId="3" fontId="10" fillId="4" borderId="13" xfId="0" applyNumberFormat="1" applyFont="1" applyFill="1" applyBorder="1" applyAlignment="1">
      <alignment horizontal="center" vertical="center"/>
    </xf>
    <xf numFmtId="0" fontId="38" fillId="16" borderId="0" xfId="0" applyFont="1" applyFill="1" applyAlignment="1">
      <alignment horizontal="left" vertical="center" indent="1"/>
    </xf>
    <xf numFmtId="0" fontId="21" fillId="16" borderId="0" xfId="0" applyFont="1" applyFill="1" applyAlignment="1">
      <alignment vertical="center"/>
    </xf>
    <xf numFmtId="0" fontId="39" fillId="16" borderId="0" xfId="0" applyFont="1" applyFill="1" applyAlignment="1">
      <alignment horizontal="left" vertical="center" indent="1"/>
    </xf>
    <xf numFmtId="0" fontId="40" fillId="0" borderId="0" xfId="0" applyFont="1" applyAlignment="1">
      <alignment horizontal="left" vertical="center" indent="1"/>
    </xf>
    <xf numFmtId="0" fontId="40" fillId="23" borderId="0" xfId="0" applyFont="1" applyFill="1" applyAlignment="1">
      <alignment horizontal="left" vertical="center" indent="1"/>
    </xf>
    <xf numFmtId="0" fontId="4" fillId="23" borderId="0" xfId="0" applyFont="1" applyFill="1" applyAlignment="1">
      <alignment vertical="center"/>
    </xf>
    <xf numFmtId="0" fontId="20" fillId="23" borderId="0" xfId="0" applyFont="1" applyFill="1" applyAlignment="1">
      <alignment horizontal="left" vertical="center" indent="1"/>
    </xf>
    <xf numFmtId="0" fontId="12" fillId="0" borderId="51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12" fillId="0" borderId="48" xfId="0" applyFont="1" applyBorder="1" applyAlignment="1">
      <alignment horizontal="right" vertical="center" indent="1"/>
    </xf>
    <xf numFmtId="0" fontId="12" fillId="0" borderId="44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left" vertical="center" indent="1"/>
    </xf>
    <xf numFmtId="0" fontId="12" fillId="0" borderId="44" xfId="0" applyFont="1" applyBorder="1" applyAlignment="1">
      <alignment horizontal="right" vertical="center" indent="1"/>
    </xf>
    <xf numFmtId="0" fontId="12" fillId="0" borderId="9" xfId="0" applyFont="1" applyBorder="1" applyAlignment="1">
      <alignment horizontal="center" vertical="center" wrapText="1"/>
    </xf>
    <xf numFmtId="0" fontId="4" fillId="9" borderId="39" xfId="0" applyFont="1" applyFill="1" applyBorder="1" applyAlignment="1">
      <alignment vertical="center"/>
    </xf>
    <xf numFmtId="0" fontId="4" fillId="9" borderId="40" xfId="0" applyFont="1" applyFill="1" applyBorder="1" applyAlignment="1">
      <alignment vertical="center"/>
    </xf>
    <xf numFmtId="0" fontId="4" fillId="9" borderId="41" xfId="0" applyFont="1" applyFill="1" applyBorder="1" applyAlignment="1">
      <alignment horizontal="right" vertical="center" indent="1"/>
    </xf>
    <xf numFmtId="0" fontId="4" fillId="0" borderId="14" xfId="0" applyFont="1" applyBorder="1" applyAlignment="1">
      <alignment horizontal="center" vertical="center"/>
    </xf>
    <xf numFmtId="0" fontId="4" fillId="0" borderId="53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right" vertical="center" indent="1"/>
    </xf>
    <xf numFmtId="0" fontId="4" fillId="0" borderId="16" xfId="0" applyFont="1" applyBorder="1" applyAlignment="1">
      <alignment horizontal="center" vertical="center"/>
    </xf>
    <xf numFmtId="0" fontId="4" fillId="0" borderId="51" xfId="0" applyFont="1" applyBorder="1" applyAlignment="1">
      <alignment horizontal="left" vertical="center" indent="1"/>
    </xf>
    <xf numFmtId="0" fontId="4" fillId="10" borderId="37" xfId="0" applyFont="1" applyFill="1" applyBorder="1" applyAlignment="1">
      <alignment vertical="center"/>
    </xf>
    <xf numFmtId="0" fontId="4" fillId="10" borderId="33" xfId="0" applyFont="1" applyFill="1" applyBorder="1" applyAlignment="1">
      <alignment vertical="center"/>
    </xf>
    <xf numFmtId="0" fontId="4" fillId="10" borderId="38" xfId="0" applyFont="1" applyFill="1" applyBorder="1" applyAlignment="1">
      <alignment horizontal="right" vertical="center" indent="1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right" vertical="center" indent="1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0" fontId="4" fillId="0" borderId="16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4" fillId="12" borderId="37" xfId="0" applyFont="1" applyFill="1" applyBorder="1" applyAlignment="1">
      <alignment vertical="center"/>
    </xf>
    <xf numFmtId="0" fontId="4" fillId="12" borderId="33" xfId="0" applyFont="1" applyFill="1" applyBorder="1" applyAlignment="1">
      <alignment vertical="center"/>
    </xf>
    <xf numFmtId="0" fontId="4" fillId="12" borderId="38" xfId="0" applyFont="1" applyFill="1" applyBorder="1" applyAlignment="1">
      <alignment horizontal="right" vertical="center" indent="1"/>
    </xf>
    <xf numFmtId="0" fontId="4" fillId="0" borderId="60" xfId="0" applyFont="1" applyBorder="1" applyAlignment="1">
      <alignment vertical="center"/>
    </xf>
    <xf numFmtId="0" fontId="4" fillId="0" borderId="34" xfId="0" applyFont="1" applyBorder="1" applyAlignment="1">
      <alignment horizontal="left" vertical="center" indent="1"/>
    </xf>
    <xf numFmtId="0" fontId="4" fillId="0" borderId="36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63" xfId="0" applyFont="1" applyBorder="1" applyAlignment="1">
      <alignment horizontal="left" vertical="center" indent="1"/>
    </xf>
    <xf numFmtId="0" fontId="4" fillId="3" borderId="37" xfId="0" applyFont="1" applyFill="1" applyBorder="1" applyAlignment="1">
      <alignment vertical="center"/>
    </xf>
    <xf numFmtId="0" fontId="4" fillId="3" borderId="38" xfId="0" applyFont="1" applyFill="1" applyBorder="1" applyAlignment="1">
      <alignment horizontal="right" vertical="center" indent="1"/>
    </xf>
    <xf numFmtId="0" fontId="4" fillId="3" borderId="4" xfId="0" applyFont="1" applyFill="1" applyBorder="1" applyAlignment="1">
      <alignment horizontal="center" vertical="center"/>
    </xf>
    <xf numFmtId="0" fontId="12" fillId="0" borderId="51" xfId="0" applyFont="1" applyBorder="1" applyAlignment="1">
      <alignment horizontal="left" vertical="center" indent="1"/>
    </xf>
    <xf numFmtId="0" fontId="4" fillId="0" borderId="48" xfId="0" applyFont="1" applyBorder="1" applyAlignment="1">
      <alignment vertical="center"/>
    </xf>
    <xf numFmtId="0" fontId="12" fillId="0" borderId="48" xfId="0" applyFont="1" applyBorder="1" applyAlignment="1">
      <alignment vertical="center"/>
    </xf>
    <xf numFmtId="11" fontId="12" fillId="0" borderId="48" xfId="0" applyNumberFormat="1" applyFont="1" applyBorder="1" applyAlignment="1">
      <alignment horizontal="center" vertical="center"/>
    </xf>
    <xf numFmtId="0" fontId="4" fillId="3" borderId="34" xfId="0" applyFont="1" applyFill="1" applyBorder="1" applyAlignment="1">
      <alignment vertical="center"/>
    </xf>
    <xf numFmtId="0" fontId="4" fillId="3" borderId="35" xfId="0" applyFont="1" applyFill="1" applyBorder="1" applyAlignment="1">
      <alignment vertical="center"/>
    </xf>
    <xf numFmtId="0" fontId="4" fillId="3" borderId="36" xfId="0" applyFont="1" applyFill="1" applyBorder="1" applyAlignment="1">
      <alignment horizontal="right" vertical="center" indent="1"/>
    </xf>
    <xf numFmtId="0" fontId="4" fillId="3" borderId="18" xfId="0" applyFont="1" applyFill="1" applyBorder="1" applyAlignment="1">
      <alignment horizontal="center" vertical="center"/>
    </xf>
    <xf numFmtId="0" fontId="4" fillId="0" borderId="54" xfId="0" applyFont="1" applyBorder="1" applyAlignment="1">
      <alignment horizontal="left" vertical="center" indent="1"/>
    </xf>
    <xf numFmtId="0" fontId="4" fillId="0" borderId="35" xfId="0" applyFont="1" applyBorder="1" applyAlignment="1">
      <alignment vertical="center"/>
    </xf>
    <xf numFmtId="0" fontId="4" fillId="0" borderId="18" xfId="0" applyFont="1" applyBorder="1" applyAlignment="1">
      <alignment horizontal="right" vertical="center" indent="1"/>
    </xf>
    <xf numFmtId="1" fontId="12" fillId="0" borderId="0" xfId="0" applyNumberFormat="1" applyFont="1" applyAlignment="1">
      <alignment horizontal="center" vertical="center"/>
    </xf>
    <xf numFmtId="0" fontId="10" fillId="4" borderId="92" xfId="0" applyFont="1" applyFill="1" applyBorder="1" applyAlignment="1">
      <alignment horizontal="centerContinuous" vertical="center"/>
    </xf>
    <xf numFmtId="0" fontId="10" fillId="4" borderId="106" xfId="0" applyFont="1" applyFill="1" applyBorder="1" applyAlignment="1">
      <alignment horizontal="centerContinuous" vertical="center"/>
    </xf>
    <xf numFmtId="0" fontId="10" fillId="4" borderId="123" xfId="0" applyFont="1" applyFill="1" applyBorder="1" applyAlignment="1">
      <alignment horizontal="centerContinuous" vertical="center"/>
    </xf>
    <xf numFmtId="0" fontId="12" fillId="0" borderId="2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4" xfId="0" applyFont="1" applyBorder="1" applyAlignment="1">
      <alignment horizontal="center" vertical="center" wrapText="1"/>
    </xf>
    <xf numFmtId="0" fontId="12" fillId="9" borderId="23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62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22" fillId="3" borderId="27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65" fontId="12" fillId="0" borderId="96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62" xfId="0" applyNumberFormat="1" applyFont="1" applyBorder="1" applyAlignment="1">
      <alignment horizontal="center" vertical="center"/>
    </xf>
    <xf numFmtId="164" fontId="12" fillId="0" borderId="28" xfId="0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/>
    </xf>
    <xf numFmtId="164" fontId="12" fillId="0" borderId="62" xfId="0" applyNumberFormat="1" applyFont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0" fontId="22" fillId="3" borderId="1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0" fontId="22" fillId="4" borderId="51" xfId="0" applyFont="1" applyFill="1" applyBorder="1" applyAlignment="1">
      <alignment horizontal="center" vertical="center"/>
    </xf>
    <xf numFmtId="0" fontId="22" fillId="4" borderId="48" xfId="0" applyFont="1" applyFill="1" applyBorder="1" applyAlignment="1">
      <alignment horizontal="center" vertical="center"/>
    </xf>
    <xf numFmtId="165" fontId="10" fillId="4" borderId="97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165" fontId="10" fillId="4" borderId="91" xfId="0" applyNumberFormat="1" applyFont="1" applyFill="1" applyBorder="1" applyAlignment="1">
      <alignment horizontal="center" vertical="center"/>
    </xf>
    <xf numFmtId="165" fontId="10" fillId="4" borderId="95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41" fillId="0" borderId="0" xfId="0" applyFont="1" applyAlignment="1">
      <alignment horizontal="left" vertical="center" indent="1"/>
    </xf>
    <xf numFmtId="0" fontId="41" fillId="0" borderId="0" xfId="0" applyFont="1"/>
    <xf numFmtId="0" fontId="4" fillId="22" borderId="0" xfId="0" applyFont="1" applyFill="1" applyAlignment="1">
      <alignment vertical="center"/>
    </xf>
    <xf numFmtId="0" fontId="8" fillId="26" borderId="0" xfId="0" applyFont="1" applyFill="1" applyAlignment="1">
      <alignment horizontal="left" vertical="center" indent="1"/>
    </xf>
    <xf numFmtId="0" fontId="9" fillId="26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5" fillId="27" borderId="0" xfId="0" applyFont="1" applyFill="1" applyAlignment="1">
      <alignment horizontal="center" vertical="center"/>
    </xf>
    <xf numFmtId="0" fontId="4" fillId="19" borderId="39" xfId="0" applyFont="1" applyFill="1" applyBorder="1" applyAlignment="1">
      <alignment vertical="center"/>
    </xf>
    <xf numFmtId="0" fontId="10" fillId="19" borderId="40" xfId="0" applyFont="1" applyFill="1" applyBorder="1" applyAlignment="1">
      <alignment horizontal="center" vertical="center"/>
    </xf>
    <xf numFmtId="0" fontId="4" fillId="19" borderId="41" xfId="0" applyFont="1" applyFill="1" applyBorder="1" applyAlignment="1">
      <alignment vertical="center"/>
    </xf>
    <xf numFmtId="3" fontId="4" fillId="8" borderId="38" xfId="0" applyNumberFormat="1" applyFont="1" applyFill="1" applyBorder="1" applyAlignment="1">
      <alignment horizontal="center" vertical="center"/>
    </xf>
    <xf numFmtId="3" fontId="4" fillId="8" borderId="36" xfId="0" applyNumberFormat="1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left" vertical="center" indent="1"/>
    </xf>
    <xf numFmtId="0" fontId="15" fillId="27" borderId="133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Continuous" vertical="center"/>
    </xf>
    <xf numFmtId="0" fontId="10" fillId="4" borderId="53" xfId="0" applyFont="1" applyFill="1" applyBorder="1" applyAlignment="1">
      <alignment horizontal="centerContinuous" vertical="center"/>
    </xf>
    <xf numFmtId="0" fontId="10" fillId="4" borderId="15" xfId="0" applyFont="1" applyFill="1" applyBorder="1" applyAlignment="1">
      <alignment horizontal="centerContinuous" vertical="center"/>
    </xf>
    <xf numFmtId="0" fontId="10" fillId="4" borderId="16" xfId="0" applyFont="1" applyFill="1" applyBorder="1" applyAlignment="1">
      <alignment horizontal="centerContinuous" vertical="center"/>
    </xf>
    <xf numFmtId="0" fontId="10" fillId="19" borderId="39" xfId="0" applyFont="1" applyFill="1" applyBorder="1" applyAlignment="1">
      <alignment horizontal="centerContinuous" vertical="center"/>
    </xf>
    <xf numFmtId="0" fontId="4" fillId="19" borderId="41" xfId="0" applyFont="1" applyFill="1" applyBorder="1" applyAlignment="1">
      <alignment horizontal="centerContinuous" vertical="center"/>
    </xf>
    <xf numFmtId="0" fontId="4" fillId="19" borderId="42" xfId="0" applyFont="1" applyFill="1" applyBorder="1" applyAlignment="1">
      <alignment horizontal="centerContinuous" vertical="center"/>
    </xf>
    <xf numFmtId="0" fontId="4" fillId="0" borderId="64" xfId="0" applyFont="1" applyBorder="1" applyAlignment="1">
      <alignment vertical="center"/>
    </xf>
    <xf numFmtId="0" fontId="13" fillId="0" borderId="29" xfId="0" applyFont="1" applyBorder="1" applyAlignment="1">
      <alignment horizontal="center" wrapText="1"/>
    </xf>
    <xf numFmtId="0" fontId="22" fillId="0" borderId="20" xfId="0" applyFont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1" fontId="4" fillId="0" borderId="29" xfId="0" applyNumberFormat="1" applyFont="1" applyBorder="1" applyAlignment="1">
      <alignment horizontal="center" vertical="center"/>
    </xf>
    <xf numFmtId="4" fontId="4" fillId="3" borderId="28" xfId="0" applyNumberFormat="1" applyFont="1" applyFill="1" applyBorder="1" applyAlignment="1">
      <alignment horizontal="center" vertical="center"/>
    </xf>
    <xf numFmtId="4" fontId="4" fillId="3" borderId="6" xfId="0" applyNumberFormat="1" applyFont="1" applyFill="1" applyBorder="1" applyAlignment="1">
      <alignment horizontal="center" vertical="center"/>
    </xf>
    <xf numFmtId="165" fontId="4" fillId="3" borderId="29" xfId="0" applyNumberFormat="1" applyFont="1" applyFill="1" applyBorder="1" applyAlignment="1">
      <alignment horizontal="center" vertical="center"/>
    </xf>
    <xf numFmtId="1" fontId="12" fillId="3" borderId="28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center" vertical="center"/>
    </xf>
    <xf numFmtId="164" fontId="4" fillId="8" borderId="28" xfId="0" applyNumberFormat="1" applyFont="1" applyFill="1" applyBorder="1" applyAlignment="1">
      <alignment horizontal="center" vertical="center"/>
    </xf>
    <xf numFmtId="9" fontId="10" fillId="3" borderId="15" xfId="1" applyFont="1" applyFill="1" applyBorder="1" applyAlignment="1">
      <alignment horizontal="center" vertical="center"/>
    </xf>
    <xf numFmtId="165" fontId="4" fillId="3" borderId="46" xfId="0" applyNumberFormat="1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165" fontId="4" fillId="3" borderId="17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164" fontId="4" fillId="8" borderId="23" xfId="0" applyNumberFormat="1" applyFont="1" applyFill="1" applyBorder="1" applyAlignment="1">
      <alignment horizontal="center" vertical="center"/>
    </xf>
    <xf numFmtId="9" fontId="10" fillId="3" borderId="6" xfId="1" applyFont="1" applyFill="1" applyBorder="1" applyAlignment="1">
      <alignment horizontal="center" vertical="center"/>
    </xf>
    <xf numFmtId="165" fontId="4" fillId="3" borderId="38" xfId="0" applyNumberFormat="1" applyFont="1" applyFill="1" applyBorder="1" applyAlignment="1">
      <alignment horizontal="center" vertical="center"/>
    </xf>
    <xf numFmtId="11" fontId="4" fillId="0" borderId="17" xfId="0" applyNumberFormat="1" applyFont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11" fontId="4" fillId="0" borderId="110" xfId="0" applyNumberFormat="1" applyFont="1" applyBorder="1" applyAlignment="1">
      <alignment horizontal="center" vertical="center"/>
    </xf>
    <xf numFmtId="4" fontId="4" fillId="3" borderId="109" xfId="0" applyNumberFormat="1" applyFont="1" applyFill="1" applyBorder="1" applyAlignment="1">
      <alignment horizontal="center" vertical="center"/>
    </xf>
    <xf numFmtId="165" fontId="4" fillId="3" borderId="110" xfId="0" applyNumberFormat="1" applyFont="1" applyFill="1" applyBorder="1" applyAlignment="1">
      <alignment horizontal="center" vertical="center"/>
    </xf>
    <xf numFmtId="1" fontId="12" fillId="3" borderId="108" xfId="0" applyNumberFormat="1" applyFont="1" applyFill="1" applyBorder="1" applyAlignment="1">
      <alignment horizontal="center" vertical="center"/>
    </xf>
    <xf numFmtId="165" fontId="4" fillId="3" borderId="109" xfId="0" applyNumberFormat="1" applyFont="1" applyFill="1" applyBorder="1" applyAlignment="1">
      <alignment horizontal="center" vertical="center"/>
    </xf>
    <xf numFmtId="164" fontId="4" fillId="8" borderId="108" xfId="0" applyNumberFormat="1" applyFont="1" applyFill="1" applyBorder="1" applyAlignment="1">
      <alignment horizontal="center" vertical="center"/>
    </xf>
    <xf numFmtId="165" fontId="4" fillId="3" borderId="60" xfId="0" applyNumberFormat="1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center"/>
    </xf>
    <xf numFmtId="1" fontId="10" fillId="4" borderId="8" xfId="0" quotePrefix="1" applyNumberFormat="1" applyFont="1" applyFill="1" applyBorder="1" applyAlignment="1">
      <alignment horizontal="center" vertical="center"/>
    </xf>
    <xf numFmtId="0" fontId="10" fillId="4" borderId="9" xfId="0" quotePrefix="1" applyFont="1" applyFill="1" applyBorder="1" applyAlignment="1">
      <alignment horizontal="center" vertical="center"/>
    </xf>
    <xf numFmtId="167" fontId="10" fillId="4" borderId="7" xfId="0" applyNumberFormat="1" applyFont="1" applyFill="1" applyBorder="1" applyAlignment="1">
      <alignment horizontal="center" vertical="center"/>
    </xf>
    <xf numFmtId="167" fontId="10" fillId="4" borderId="8" xfId="0" applyNumberFormat="1" applyFont="1" applyFill="1" applyBorder="1" applyAlignment="1">
      <alignment horizontal="center" vertical="center"/>
    </xf>
    <xf numFmtId="0" fontId="10" fillId="4" borderId="7" xfId="0" quotePrefix="1" applyFont="1" applyFill="1" applyBorder="1" applyAlignment="1">
      <alignment horizontal="center" vertical="center"/>
    </xf>
    <xf numFmtId="166" fontId="10" fillId="4" borderId="8" xfId="0" applyNumberFormat="1" applyFont="1" applyFill="1" applyBorder="1" applyAlignment="1">
      <alignment horizontal="center" vertical="center"/>
    </xf>
    <xf numFmtId="166" fontId="10" fillId="4" borderId="8" xfId="0" quotePrefix="1" applyNumberFormat="1" applyFont="1" applyFill="1" applyBorder="1" applyAlignment="1">
      <alignment horizontal="center" vertical="center"/>
    </xf>
    <xf numFmtId="166" fontId="10" fillId="4" borderId="7" xfId="0" applyNumberFormat="1" applyFont="1" applyFill="1" applyBorder="1" applyAlignment="1">
      <alignment horizontal="center" vertical="center"/>
    </xf>
    <xf numFmtId="0" fontId="10" fillId="4" borderId="8" xfId="0" quotePrefix="1" applyFont="1" applyFill="1" applyBorder="1" applyAlignment="1">
      <alignment horizontal="center" vertical="center"/>
    </xf>
    <xf numFmtId="166" fontId="10" fillId="4" borderId="3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0" fillId="15" borderId="31" xfId="0" applyFont="1" applyFill="1" applyBorder="1" applyAlignment="1">
      <alignment horizontal="left" vertical="center" indent="1"/>
    </xf>
    <xf numFmtId="0" fontId="10" fillId="15" borderId="32" xfId="0" applyFont="1" applyFill="1" applyBorder="1" applyAlignment="1">
      <alignment vertical="center"/>
    </xf>
    <xf numFmtId="0" fontId="4" fillId="15" borderId="0" xfId="0" applyFont="1" applyFill="1" applyAlignment="1">
      <alignment vertical="center"/>
    </xf>
    <xf numFmtId="0" fontId="4" fillId="15" borderId="41" xfId="0" applyFont="1" applyFill="1" applyBorder="1" applyAlignment="1">
      <alignment vertical="center"/>
    </xf>
    <xf numFmtId="0" fontId="4" fillId="0" borderId="23" xfId="0" applyFont="1" applyBorder="1" applyAlignment="1">
      <alignment horizontal="left" vertical="center" indent="2"/>
    </xf>
    <xf numFmtId="0" fontId="10" fillId="0" borderId="1" xfId="0" applyFont="1" applyBorder="1" applyAlignment="1">
      <alignment vertical="center"/>
    </xf>
    <xf numFmtId="165" fontId="10" fillId="3" borderId="38" xfId="0" applyNumberFormat="1" applyFont="1" applyFill="1" applyBorder="1" applyAlignment="1">
      <alignment horizontal="center" vertical="center"/>
    </xf>
    <xf numFmtId="165" fontId="10" fillId="3" borderId="46" xfId="0" applyNumberFormat="1" applyFont="1" applyFill="1" applyBorder="1" applyAlignment="1">
      <alignment horizontal="center" vertical="center"/>
    </xf>
    <xf numFmtId="0" fontId="10" fillId="15" borderId="52" xfId="0" applyFont="1" applyFill="1" applyBorder="1" applyAlignment="1">
      <alignment horizontal="left" vertical="center" indent="1"/>
    </xf>
    <xf numFmtId="0" fontId="10" fillId="15" borderId="50" xfId="0" applyFont="1" applyFill="1" applyBorder="1" applyAlignment="1">
      <alignment vertical="center"/>
    </xf>
    <xf numFmtId="0" fontId="10" fillId="15" borderId="45" xfId="0" applyFont="1" applyFill="1" applyBorder="1" applyAlignment="1">
      <alignment vertical="center"/>
    </xf>
    <xf numFmtId="165" fontId="10" fillId="15" borderId="45" xfId="0" applyNumberFormat="1" applyFont="1" applyFill="1" applyBorder="1" applyAlignment="1">
      <alignment horizontal="center" vertical="center"/>
    </xf>
    <xf numFmtId="9" fontId="22" fillId="15" borderId="27" xfId="1" applyFont="1" applyFill="1" applyBorder="1" applyAlignment="1">
      <alignment horizontal="center" vertical="center"/>
    </xf>
    <xf numFmtId="0" fontId="10" fillId="19" borderId="31" xfId="0" applyFont="1" applyFill="1" applyBorder="1" applyAlignment="1">
      <alignment horizontal="left" vertical="center" indent="1"/>
    </xf>
    <xf numFmtId="0" fontId="10" fillId="19" borderId="32" xfId="0" applyFont="1" applyFill="1" applyBorder="1" applyAlignment="1">
      <alignment vertical="center"/>
    </xf>
    <xf numFmtId="0" fontId="4" fillId="19" borderId="32" xfId="0" applyFont="1" applyFill="1" applyBorder="1" applyAlignment="1">
      <alignment vertical="center"/>
    </xf>
    <xf numFmtId="0" fontId="10" fillId="19" borderId="52" xfId="0" applyFont="1" applyFill="1" applyBorder="1" applyAlignment="1">
      <alignment horizontal="left" vertical="center" indent="1"/>
    </xf>
    <xf numFmtId="0" fontId="10" fillId="19" borderId="50" xfId="0" applyFont="1" applyFill="1" applyBorder="1" applyAlignment="1">
      <alignment vertical="center"/>
    </xf>
    <xf numFmtId="0" fontId="10" fillId="19" borderId="45" xfId="0" applyFont="1" applyFill="1" applyBorder="1" applyAlignment="1">
      <alignment vertical="center"/>
    </xf>
    <xf numFmtId="165" fontId="10" fillId="19" borderId="126" xfId="0" applyNumberFormat="1" applyFont="1" applyFill="1" applyBorder="1" applyAlignment="1">
      <alignment horizontal="center" vertical="center"/>
    </xf>
    <xf numFmtId="9" fontId="10" fillId="19" borderId="27" xfId="1" applyFont="1" applyFill="1" applyBorder="1" applyAlignment="1">
      <alignment horizontal="center" vertical="center"/>
    </xf>
    <xf numFmtId="0" fontId="4" fillId="15" borderId="32" xfId="0" applyFont="1" applyFill="1" applyBorder="1" applyAlignment="1">
      <alignment vertical="center"/>
    </xf>
    <xf numFmtId="0" fontId="4" fillId="15" borderId="94" xfId="0" applyFont="1" applyFill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19" borderId="94" xfId="0" applyFont="1" applyFill="1" applyBorder="1" applyAlignment="1">
      <alignment vertical="center"/>
    </xf>
    <xf numFmtId="0" fontId="12" fillId="0" borderId="48" xfId="0" applyFont="1" applyBorder="1" applyAlignment="1">
      <alignment horizontal="center" vertical="center" wrapText="1"/>
    </xf>
    <xf numFmtId="0" fontId="4" fillId="0" borderId="39" xfId="0" applyFont="1" applyBorder="1" applyAlignment="1">
      <alignment vertical="center"/>
    </xf>
    <xf numFmtId="0" fontId="4" fillId="0" borderId="41" xfId="0" applyFont="1" applyBorder="1" applyAlignment="1">
      <alignment horizontal="right" vertical="center" indent="1"/>
    </xf>
    <xf numFmtId="0" fontId="4" fillId="0" borderId="41" xfId="0" applyFont="1" applyBorder="1" applyAlignment="1">
      <alignment horizontal="center" vertical="center"/>
    </xf>
    <xf numFmtId="0" fontId="4" fillId="0" borderId="61" xfId="0" applyFont="1" applyBorder="1" applyAlignment="1">
      <alignment vertical="center"/>
    </xf>
    <xf numFmtId="0" fontId="4" fillId="0" borderId="46" xfId="0" applyFont="1" applyBorder="1" applyAlignment="1">
      <alignment horizontal="right" vertical="center" indent="1"/>
    </xf>
    <xf numFmtId="0" fontId="4" fillId="0" borderId="46" xfId="0" applyFont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horizontal="right" vertical="center" indent="1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vertical="center"/>
    </xf>
    <xf numFmtId="0" fontId="4" fillId="0" borderId="36" xfId="0" applyFont="1" applyBorder="1" applyAlignment="1">
      <alignment horizontal="right" vertical="center" indent="1"/>
    </xf>
    <xf numFmtId="0" fontId="4" fillId="0" borderId="36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 indent="1"/>
    </xf>
    <xf numFmtId="0" fontId="7" fillId="0" borderId="48" xfId="0" applyFont="1" applyBorder="1" applyAlignment="1">
      <alignment horizontal="left" vertical="center" indent="1"/>
    </xf>
    <xf numFmtId="0" fontId="4" fillId="0" borderId="64" xfId="0" applyFont="1" applyBorder="1" applyAlignment="1">
      <alignment horizontal="left" vertical="center" indent="1"/>
    </xf>
    <xf numFmtId="0" fontId="4" fillId="0" borderId="45" xfId="0" applyFont="1" applyBorder="1" applyAlignment="1">
      <alignment vertical="center"/>
    </xf>
    <xf numFmtId="0" fontId="44" fillId="16" borderId="0" xfId="0" applyFont="1" applyFill="1" applyAlignment="1">
      <alignment horizontal="left" vertical="center" indent="1"/>
    </xf>
    <xf numFmtId="0" fontId="44" fillId="16" borderId="132" xfId="0" applyFont="1" applyFill="1" applyBorder="1" applyAlignment="1">
      <alignment horizontal="left" vertical="center" indent="1"/>
    </xf>
    <xf numFmtId="49" fontId="4" fillId="8" borderId="46" xfId="0" applyNumberFormat="1" applyFont="1" applyFill="1" applyBorder="1" applyAlignment="1">
      <alignment horizontal="center" vertical="center"/>
    </xf>
    <xf numFmtId="0" fontId="33" fillId="3" borderId="5" xfId="0" applyFont="1" applyFill="1" applyBorder="1" applyAlignment="1">
      <alignment horizontal="right" vertical="center"/>
    </xf>
    <xf numFmtId="49" fontId="4" fillId="8" borderId="38" xfId="0" applyNumberFormat="1" applyFont="1" applyFill="1" applyBorder="1" applyAlignment="1">
      <alignment horizontal="center" vertical="center"/>
    </xf>
    <xf numFmtId="49" fontId="4" fillId="8" borderId="36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right" vertical="center"/>
    </xf>
    <xf numFmtId="0" fontId="45" fillId="0" borderId="0" xfId="0" applyFont="1" applyAlignment="1">
      <alignment horizontal="left" vertical="center" indent="1"/>
    </xf>
    <xf numFmtId="0" fontId="31" fillId="0" borderId="0" xfId="0" applyFont="1" applyAlignment="1">
      <alignment vertical="center"/>
    </xf>
    <xf numFmtId="0" fontId="4" fillId="28" borderId="0" xfId="0" applyFont="1" applyFill="1" applyAlignment="1">
      <alignment vertical="center"/>
    </xf>
    <xf numFmtId="0" fontId="4" fillId="28" borderId="0" xfId="0" applyFont="1" applyFill="1" applyAlignment="1">
      <alignment horizontal="left" vertical="center" indent="1"/>
    </xf>
    <xf numFmtId="0" fontId="10" fillId="3" borderId="85" xfId="0" applyFont="1" applyFill="1" applyBorder="1" applyAlignment="1">
      <alignment horizontal="left" vertical="center" indent="1"/>
    </xf>
    <xf numFmtId="0" fontId="10" fillId="3" borderId="86" xfId="0" applyFont="1" applyFill="1" applyBorder="1" applyAlignment="1">
      <alignment vertical="center"/>
    </xf>
    <xf numFmtId="0" fontId="10" fillId="3" borderId="86" xfId="0" applyFont="1" applyFill="1" applyBorder="1" applyAlignment="1">
      <alignment horizontal="centerContinuous" vertical="center"/>
    </xf>
    <xf numFmtId="0" fontId="46" fillId="28" borderId="0" xfId="0" applyFont="1" applyFill="1" applyAlignment="1">
      <alignment horizontal="left" vertical="center" indent="1"/>
    </xf>
    <xf numFmtId="0" fontId="11" fillId="0" borderId="0" xfId="0" applyFont="1" applyAlignment="1">
      <alignment vertical="center"/>
    </xf>
    <xf numFmtId="0" fontId="22" fillId="0" borderId="12" xfId="0" applyFont="1" applyBorder="1" applyAlignment="1">
      <alignment horizontal="center" vertical="center" wrapText="1"/>
    </xf>
    <xf numFmtId="3" fontId="12" fillId="0" borderId="27" xfId="0" applyNumberFormat="1" applyFont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165" fontId="10" fillId="4" borderId="44" xfId="0" applyNumberFormat="1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165" fontId="10" fillId="4" borderId="14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8" borderId="28" xfId="0" applyFont="1" applyFill="1" applyBorder="1" applyAlignment="1">
      <alignment horizontal="left" vertical="center" indent="1"/>
    </xf>
    <xf numFmtId="0" fontId="4" fillId="8" borderId="6" xfId="0" applyFont="1" applyFill="1" applyBorder="1" applyAlignment="1">
      <alignment horizontal="left" vertical="center" indent="1"/>
    </xf>
    <xf numFmtId="0" fontId="10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6" xfId="0" applyFont="1" applyBorder="1" applyAlignment="1">
      <alignment horizontal="center" vertical="center" wrapText="1"/>
    </xf>
    <xf numFmtId="0" fontId="10" fillId="0" borderId="105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107" xfId="0" applyFont="1" applyBorder="1" applyAlignment="1">
      <alignment horizontal="center" vertical="center" wrapText="1"/>
    </xf>
    <xf numFmtId="0" fontId="10" fillId="0" borderId="10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left" vertical="center" indent="1"/>
    </xf>
    <xf numFmtId="0" fontId="4" fillId="2" borderId="33" xfId="0" applyFont="1" applyFill="1" applyBorder="1" applyAlignment="1">
      <alignment horizontal="left" vertical="center" indent="1"/>
    </xf>
    <xf numFmtId="0" fontId="4" fillId="2" borderId="38" xfId="0" applyFont="1" applyFill="1" applyBorder="1" applyAlignment="1">
      <alignment horizontal="left" vertical="center" indent="1"/>
    </xf>
    <xf numFmtId="0" fontId="4" fillId="8" borderId="39" xfId="0" applyFont="1" applyFill="1" applyBorder="1" applyAlignment="1">
      <alignment horizontal="left" vertical="center" indent="1"/>
    </xf>
    <xf numFmtId="0" fontId="4" fillId="8" borderId="40" xfId="0" applyFont="1" applyFill="1" applyBorder="1" applyAlignment="1">
      <alignment horizontal="left" vertical="center" indent="1"/>
    </xf>
    <xf numFmtId="0" fontId="4" fillId="8" borderId="41" xfId="0" applyFont="1" applyFill="1" applyBorder="1" applyAlignment="1">
      <alignment horizontal="left" vertical="center" inden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4" fillId="8" borderId="47" xfId="0" applyNumberFormat="1" applyFont="1" applyFill="1" applyBorder="1" applyAlignment="1">
      <alignment horizontal="center" vertical="center"/>
    </xf>
    <xf numFmtId="3" fontId="4" fillId="8" borderId="48" xfId="0" applyNumberFormat="1" applyFont="1" applyFill="1" applyBorder="1" applyAlignment="1">
      <alignment horizontal="center" vertical="center"/>
    </xf>
    <xf numFmtId="0" fontId="10" fillId="0" borderId="122" xfId="0" applyFont="1" applyBorder="1" applyAlignment="1">
      <alignment horizontal="left" vertical="center" wrapText="1" indent="1"/>
    </xf>
    <xf numFmtId="0" fontId="10" fillId="0" borderId="121" xfId="0" applyFont="1" applyBorder="1" applyAlignment="1">
      <alignment horizontal="left" vertical="center" wrapText="1" indent="1"/>
    </xf>
    <xf numFmtId="0" fontId="10" fillId="0" borderId="134" xfId="0" applyFont="1" applyBorder="1" applyAlignment="1">
      <alignment horizontal="left" vertical="center" wrapText="1" indent="1"/>
    </xf>
    <xf numFmtId="0" fontId="10" fillId="0" borderId="64" xfId="0" applyFont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10" fillId="0" borderId="49" xfId="0" applyFont="1" applyBorder="1" applyAlignment="1">
      <alignment horizontal="left" vertical="center" wrapText="1" indent="1"/>
    </xf>
    <xf numFmtId="0" fontId="10" fillId="0" borderId="52" xfId="0" applyFont="1" applyBorder="1" applyAlignment="1">
      <alignment horizontal="left" vertical="center" wrapText="1" indent="1"/>
    </xf>
    <xf numFmtId="0" fontId="10" fillId="0" borderId="50" xfId="0" applyFont="1" applyBorder="1" applyAlignment="1">
      <alignment horizontal="left" vertical="center" wrapText="1" indent="1"/>
    </xf>
    <xf numFmtId="0" fontId="10" fillId="0" borderId="65" xfId="0" applyFont="1" applyBorder="1" applyAlignment="1">
      <alignment horizontal="left" vertical="center" wrapText="1" indent="1"/>
    </xf>
    <xf numFmtId="0" fontId="22" fillId="0" borderId="67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4" fillId="8" borderId="70" xfId="0" applyFont="1" applyFill="1" applyBorder="1" applyAlignment="1">
      <alignment horizontal="center" vertical="center"/>
    </xf>
    <xf numFmtId="0" fontId="4" fillId="8" borderId="40" xfId="0" applyFont="1" applyFill="1" applyBorder="1" applyAlignment="1">
      <alignment horizontal="center" vertical="center"/>
    </xf>
    <xf numFmtId="0" fontId="4" fillId="8" borderId="41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left" vertical="center" indent="1"/>
    </xf>
    <xf numFmtId="0" fontId="4" fillId="3" borderId="35" xfId="0" applyFont="1" applyFill="1" applyBorder="1" applyAlignment="1">
      <alignment horizontal="left" vertical="center" indent="1"/>
    </xf>
    <xf numFmtId="0" fontId="4" fillId="3" borderId="36" xfId="0" applyFont="1" applyFill="1" applyBorder="1" applyAlignment="1">
      <alignment horizontal="left" vertical="center" indent="1"/>
    </xf>
    <xf numFmtId="0" fontId="4" fillId="8" borderId="68" xfId="0" applyFont="1" applyFill="1" applyBorder="1" applyAlignment="1">
      <alignment horizontal="center" vertical="center"/>
    </xf>
    <xf numFmtId="0" fontId="4" fillId="8" borderId="50" xfId="0" applyFont="1" applyFill="1" applyBorder="1" applyAlignment="1">
      <alignment horizontal="center" vertical="center"/>
    </xf>
    <xf numFmtId="0" fontId="4" fillId="8" borderId="45" xfId="0" applyFont="1" applyFill="1" applyBorder="1" applyAlignment="1">
      <alignment horizontal="center" vertical="center"/>
    </xf>
    <xf numFmtId="0" fontId="10" fillId="0" borderId="28" xfId="0" applyFont="1" applyBorder="1" applyAlignment="1">
      <alignment horizontal="left" vertical="center" wrapText="1" indent="1"/>
    </xf>
    <xf numFmtId="0" fontId="10" fillId="0" borderId="6" xfId="0" applyFont="1" applyBorder="1" applyAlignment="1">
      <alignment horizontal="left" vertical="center" wrapText="1" indent="1"/>
    </xf>
    <xf numFmtId="0" fontId="10" fillId="0" borderId="23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left" vertical="center" wrapText="1" indent="1"/>
    </xf>
    <xf numFmtId="0" fontId="10" fillId="0" borderId="19" xfId="0" applyFont="1" applyBorder="1" applyAlignment="1">
      <alignment horizontal="left" vertical="center" wrapText="1" indent="1"/>
    </xf>
    <xf numFmtId="0" fontId="10" fillId="0" borderId="23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9" fontId="35" fillId="0" borderId="82" xfId="1" applyFont="1" applyBorder="1" applyAlignment="1">
      <alignment horizontal="center" vertical="center"/>
    </xf>
    <xf numFmtId="9" fontId="35" fillId="0" borderId="83" xfId="1" applyFont="1" applyBorder="1" applyAlignment="1">
      <alignment horizontal="center" vertical="center"/>
    </xf>
    <xf numFmtId="9" fontId="35" fillId="0" borderId="84" xfId="1" applyFont="1" applyBorder="1" applyAlignment="1">
      <alignment horizontal="center" vertical="center"/>
    </xf>
    <xf numFmtId="0" fontId="12" fillId="24" borderId="42" xfId="0" applyFont="1" applyFill="1" applyBorder="1" applyAlignment="1">
      <alignment horizontal="center" vertical="center" wrapText="1"/>
    </xf>
    <xf numFmtId="0" fontId="12" fillId="24" borderId="43" xfId="0" applyFont="1" applyFill="1" applyBorder="1" applyAlignment="1">
      <alignment horizontal="center" vertical="center" wrapText="1"/>
    </xf>
    <xf numFmtId="0" fontId="12" fillId="24" borderId="13" xfId="0" applyFont="1" applyFill="1" applyBorder="1" applyAlignment="1">
      <alignment horizontal="center" vertical="center" wrapText="1"/>
    </xf>
    <xf numFmtId="0" fontId="12" fillId="0" borderId="51" xfId="0" applyFont="1" applyBorder="1" applyAlignment="1">
      <alignment horizontal="left" vertical="center" indent="1"/>
    </xf>
    <xf numFmtId="0" fontId="12" fillId="0" borderId="30" xfId="0" applyFont="1" applyBorder="1" applyAlignment="1">
      <alignment horizontal="left" vertical="center" indent="1"/>
    </xf>
    <xf numFmtId="0" fontId="12" fillId="0" borderId="48" xfId="0" applyFont="1" applyBorder="1" applyAlignment="1">
      <alignment horizontal="left" vertical="center" indent="1"/>
    </xf>
    <xf numFmtId="0" fontId="12" fillId="0" borderId="10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14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6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 wrapText="1" indent="1"/>
    </xf>
    <xf numFmtId="0" fontId="4" fillId="0" borderId="32" xfId="0" applyFont="1" applyBorder="1" applyAlignment="1">
      <alignment horizontal="left" vertical="center" wrapText="1" indent="1"/>
    </xf>
    <xf numFmtId="0" fontId="4" fillId="0" borderId="78" xfId="0" applyFont="1" applyBorder="1" applyAlignment="1">
      <alignment horizontal="left" vertical="center" wrapText="1" indent="1"/>
    </xf>
    <xf numFmtId="0" fontId="4" fillId="0" borderId="52" xfId="0" applyFont="1" applyBorder="1" applyAlignment="1">
      <alignment horizontal="left" vertical="center" wrapText="1" indent="1"/>
    </xf>
    <xf numFmtId="0" fontId="4" fillId="0" borderId="50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indent="1"/>
    </xf>
    <xf numFmtId="0" fontId="4" fillId="0" borderId="61" xfId="0" applyFont="1" applyBorder="1" applyAlignment="1">
      <alignment horizontal="left" vertical="center" indent="1"/>
    </xf>
    <xf numFmtId="0" fontId="4" fillId="0" borderId="62" xfId="0" applyFont="1" applyBorder="1" applyAlignment="1">
      <alignment horizontal="left" vertical="center" indent="1"/>
    </xf>
    <xf numFmtId="3" fontId="10" fillId="3" borderId="60" xfId="0" applyNumberFormat="1" applyFont="1" applyFill="1" applyBorder="1" applyAlignment="1">
      <alignment horizontal="center" vertical="center"/>
    </xf>
    <xf numFmtId="3" fontId="10" fillId="3" borderId="46" xfId="0" applyNumberFormat="1" applyFont="1" applyFill="1" applyBorder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3" fontId="10" fillId="3" borderId="42" xfId="0" applyNumberFormat="1" applyFont="1" applyFill="1" applyBorder="1" applyAlignment="1">
      <alignment horizontal="center" vertical="center"/>
    </xf>
    <xf numFmtId="3" fontId="10" fillId="3" borderId="13" xfId="0" applyNumberFormat="1" applyFont="1" applyFill="1" applyBorder="1" applyAlignment="1">
      <alignment horizontal="center" vertical="center"/>
    </xf>
    <xf numFmtId="0" fontId="12" fillId="0" borderId="122" xfId="0" applyFont="1" applyBorder="1" applyAlignment="1">
      <alignment horizontal="left" vertical="center" wrapText="1" indent="1"/>
    </xf>
    <xf numFmtId="0" fontId="12" fillId="0" borderId="121" xfId="0" applyFont="1" applyBorder="1" applyAlignment="1">
      <alignment horizontal="left" vertical="center" wrapText="1" indent="1"/>
    </xf>
    <xf numFmtId="0" fontId="12" fillId="0" borderId="52" xfId="0" applyFont="1" applyBorder="1" applyAlignment="1">
      <alignment horizontal="left" vertical="center" wrapText="1" indent="1"/>
    </xf>
    <xf numFmtId="0" fontId="12" fillId="0" borderId="50" xfId="0" applyFont="1" applyBorder="1" applyAlignment="1">
      <alignment horizontal="left" vertical="center" wrapText="1" indent="1"/>
    </xf>
    <xf numFmtId="3" fontId="22" fillId="3" borderId="67" xfId="0" applyNumberFormat="1" applyFont="1" applyFill="1" applyBorder="1" applyAlignment="1">
      <alignment horizontal="center" vertical="center"/>
    </xf>
    <xf numFmtId="3" fontId="22" fillId="3" borderId="120" xfId="0" applyNumberFormat="1" applyFont="1" applyFill="1" applyBorder="1" applyAlignment="1">
      <alignment horizontal="center" vertical="center"/>
    </xf>
    <xf numFmtId="3" fontId="22" fillId="3" borderId="13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right" vertical="center"/>
    </xf>
    <xf numFmtId="0" fontId="12" fillId="0" borderId="60" xfId="0" applyFont="1" applyBorder="1" applyAlignment="1">
      <alignment horizontal="left" vertical="center" wrapText="1" indent="1"/>
    </xf>
    <xf numFmtId="0" fontId="12" fillId="0" borderId="61" xfId="0" applyFont="1" applyBorder="1" applyAlignment="1">
      <alignment horizontal="left" vertical="center" wrapText="1" indent="1"/>
    </xf>
    <xf numFmtId="0" fontId="12" fillId="0" borderId="62" xfId="0" applyFont="1" applyBorder="1" applyAlignment="1">
      <alignment horizontal="left" vertical="center" wrapText="1" indent="1"/>
    </xf>
    <xf numFmtId="0" fontId="12" fillId="0" borderId="46" xfId="0" applyFont="1" applyBorder="1" applyAlignment="1">
      <alignment horizontal="left" vertical="center" wrapText="1" indent="1"/>
    </xf>
    <xf numFmtId="0" fontId="19" fillId="0" borderId="113" xfId="0" applyFont="1" applyBorder="1" applyAlignment="1">
      <alignment horizontal="center" vertical="center"/>
    </xf>
    <xf numFmtId="0" fontId="19" fillId="0" borderId="11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6" fillId="13" borderId="55" xfId="0" applyFont="1" applyFill="1" applyBorder="1" applyAlignment="1">
      <alignment horizontal="left" vertical="center" wrapText="1" indent="1"/>
    </xf>
    <xf numFmtId="0" fontId="16" fillId="13" borderId="56" xfId="0" applyFont="1" applyFill="1" applyBorder="1" applyAlignment="1">
      <alignment horizontal="left" vertical="center" wrapText="1" indent="1"/>
    </xf>
    <xf numFmtId="0" fontId="16" fillId="13" borderId="80" xfId="0" applyFont="1" applyFill="1" applyBorder="1" applyAlignment="1">
      <alignment horizontal="left" vertical="center" wrapText="1" indent="1"/>
    </xf>
    <xf numFmtId="0" fontId="16" fillId="13" borderId="57" xfId="0" applyFont="1" applyFill="1" applyBorder="1" applyAlignment="1">
      <alignment horizontal="left" vertical="center" wrapText="1" indent="1"/>
    </xf>
    <xf numFmtId="0" fontId="16" fillId="13" borderId="0" xfId="0" applyFont="1" applyFill="1" applyAlignment="1">
      <alignment horizontal="left" vertical="center" wrapText="1" indent="1"/>
    </xf>
    <xf numFmtId="0" fontId="16" fillId="13" borderId="2" xfId="0" applyFont="1" applyFill="1" applyBorder="1" applyAlignment="1">
      <alignment horizontal="left" vertical="center" wrapText="1" indent="1"/>
    </xf>
    <xf numFmtId="0" fontId="16" fillId="13" borderId="58" xfId="0" applyFont="1" applyFill="1" applyBorder="1" applyAlignment="1">
      <alignment horizontal="left" vertical="center" wrapText="1" indent="1"/>
    </xf>
    <xf numFmtId="0" fontId="16" fillId="13" borderId="59" xfId="0" applyFont="1" applyFill="1" applyBorder="1" applyAlignment="1">
      <alignment horizontal="left" vertical="center" wrapText="1" indent="1"/>
    </xf>
    <xf numFmtId="0" fontId="16" fillId="13" borderId="81" xfId="0" applyFont="1" applyFill="1" applyBorder="1" applyAlignment="1">
      <alignment horizontal="left" vertical="center" wrapText="1" indent="1"/>
    </xf>
    <xf numFmtId="0" fontId="19" fillId="0" borderId="111" xfId="0" applyFont="1" applyBorder="1" applyAlignment="1">
      <alignment horizontal="center" vertical="center"/>
    </xf>
    <xf numFmtId="0" fontId="19" fillId="0" borderId="112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22" xfId="0" applyFont="1" applyBorder="1" applyAlignment="1">
      <alignment horizontal="left" vertical="center" wrapText="1" indent="1"/>
    </xf>
    <xf numFmtId="0" fontId="4" fillId="0" borderId="121" xfId="0" applyFont="1" applyBorder="1" applyAlignment="1">
      <alignment horizontal="left" vertical="center" wrapText="1" indent="1"/>
    </xf>
    <xf numFmtId="0" fontId="4" fillId="0" borderId="60" xfId="0" applyFont="1" applyBorder="1" applyAlignment="1">
      <alignment horizontal="left" vertical="center" wrapText="1" indent="1"/>
    </xf>
    <xf numFmtId="0" fontId="4" fillId="0" borderId="61" xfId="0" applyFont="1" applyBorder="1" applyAlignment="1">
      <alignment horizontal="left" vertical="center" wrapText="1" indent="1"/>
    </xf>
    <xf numFmtId="0" fontId="4" fillId="0" borderId="62" xfId="0" applyFont="1" applyBorder="1" applyAlignment="1">
      <alignment horizontal="left" vertical="center" wrapText="1" indent="1"/>
    </xf>
    <xf numFmtId="0" fontId="4" fillId="0" borderId="46" xfId="0" applyFont="1" applyBorder="1" applyAlignment="1">
      <alignment horizontal="left" vertical="center" wrapText="1" indent="1"/>
    </xf>
    <xf numFmtId="0" fontId="12" fillId="0" borderId="45" xfId="0" applyFont="1" applyBorder="1" applyAlignment="1">
      <alignment horizontal="left" vertical="center" wrapText="1" indent="1"/>
    </xf>
    <xf numFmtId="0" fontId="22" fillId="0" borderId="105" xfId="0" applyFont="1" applyBorder="1" applyAlignment="1">
      <alignment horizontal="center" vertical="center" wrapText="1"/>
    </xf>
    <xf numFmtId="9" fontId="35" fillId="0" borderId="127" xfId="1" applyFont="1" applyBorder="1" applyAlignment="1">
      <alignment horizontal="center" vertical="center"/>
    </xf>
    <xf numFmtId="9" fontId="35" fillId="0" borderId="128" xfId="1" applyFont="1" applyBorder="1" applyAlignment="1">
      <alignment horizontal="center" vertical="center"/>
    </xf>
    <xf numFmtId="9" fontId="35" fillId="0" borderId="129" xfId="1" applyFont="1" applyBorder="1" applyAlignment="1">
      <alignment horizontal="center" vertical="center"/>
    </xf>
    <xf numFmtId="3" fontId="22" fillId="3" borderId="43" xfId="0" applyNumberFormat="1" applyFont="1" applyFill="1" applyBorder="1" applyAlignment="1">
      <alignment horizontal="center" vertical="center"/>
    </xf>
    <xf numFmtId="3" fontId="10" fillId="3" borderId="120" xfId="0" applyNumberFormat="1" applyFont="1" applyFill="1" applyBorder="1" applyAlignment="1">
      <alignment horizontal="center" vertical="center"/>
    </xf>
    <xf numFmtId="3" fontId="10" fillId="3" borderId="27" xfId="0" applyNumberFormat="1" applyFont="1" applyFill="1" applyBorder="1" applyAlignment="1">
      <alignment horizontal="center" vertical="center"/>
    </xf>
    <xf numFmtId="3" fontId="22" fillId="3" borderId="27" xfId="0" applyNumberFormat="1" applyFont="1" applyFill="1" applyBorder="1" applyAlignment="1">
      <alignment horizontal="center" vertical="center"/>
    </xf>
    <xf numFmtId="0" fontId="16" fillId="13" borderId="130" xfId="0" applyFont="1" applyFill="1" applyBorder="1" applyAlignment="1">
      <alignment horizontal="left" vertical="center" wrapText="1" indent="1"/>
    </xf>
    <xf numFmtId="0" fontId="16" fillId="13" borderId="71" xfId="0" applyFont="1" applyFill="1" applyBorder="1" applyAlignment="1">
      <alignment horizontal="left" vertical="center" wrapText="1" indent="1"/>
    </xf>
    <xf numFmtId="0" fontId="16" fillId="13" borderId="131" xfId="0" applyFont="1" applyFill="1" applyBorder="1" applyAlignment="1">
      <alignment horizontal="left" vertical="center" wrapText="1" indent="1"/>
    </xf>
    <xf numFmtId="0" fontId="10" fillId="3" borderId="109" xfId="0" applyFont="1" applyFill="1" applyBorder="1" applyAlignment="1">
      <alignment horizontal="center" vertical="center" wrapText="1"/>
    </xf>
    <xf numFmtId="0" fontId="10" fillId="3" borderId="125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4" fillId="8" borderId="108" xfId="0" applyFont="1" applyFill="1" applyBorder="1" applyAlignment="1">
      <alignment horizontal="left" vertical="center" indent="1"/>
    </xf>
    <xf numFmtId="0" fontId="4" fillId="8" borderId="109" xfId="0" applyFont="1" applyFill="1" applyBorder="1" applyAlignment="1">
      <alignment horizontal="left" vertical="center" indent="1"/>
    </xf>
    <xf numFmtId="0" fontId="10" fillId="4" borderId="7" xfId="0" quotePrefix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4" fillId="8" borderId="23" xfId="0" applyFont="1" applyFill="1" applyBorder="1" applyAlignment="1">
      <alignment horizontal="left" vertical="center" indent="1"/>
    </xf>
    <xf numFmtId="0" fontId="4" fillId="8" borderId="1" xfId="0" applyFont="1" applyFill="1" applyBorder="1" applyAlignment="1">
      <alignment horizontal="left" vertical="center" indent="1"/>
    </xf>
    <xf numFmtId="0" fontId="10" fillId="0" borderId="31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4" fillId="8" borderId="37" xfId="0" applyFont="1" applyFill="1" applyBorder="1" applyAlignment="1">
      <alignment horizontal="left" vertical="center" indent="1"/>
    </xf>
    <xf numFmtId="0" fontId="4" fillId="8" borderId="33" xfId="0" applyFont="1" applyFill="1" applyBorder="1" applyAlignment="1">
      <alignment horizontal="left" vertical="center" indent="1"/>
    </xf>
    <xf numFmtId="0" fontId="4" fillId="8" borderId="4" xfId="0" applyFont="1" applyFill="1" applyBorder="1" applyAlignment="1">
      <alignment horizontal="left" vertical="center" indent="1"/>
    </xf>
    <xf numFmtId="0" fontId="4" fillId="8" borderId="24" xfId="0" applyFont="1" applyFill="1" applyBorder="1" applyAlignment="1">
      <alignment horizontal="left" vertical="center" indent="1"/>
    </xf>
    <xf numFmtId="0" fontId="4" fillId="8" borderId="19" xfId="0" applyFont="1" applyFill="1" applyBorder="1" applyAlignment="1">
      <alignment horizontal="left" vertical="center" indent="1"/>
    </xf>
    <xf numFmtId="0" fontId="10" fillId="0" borderId="78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72">
    <dxf>
      <fill>
        <patternFill patternType="gray0625">
          <fgColor theme="0" tint="-0.89996032593768116"/>
          <bgColor rgb="FFFFFFFF"/>
        </patternFill>
      </fill>
    </dxf>
    <dxf>
      <fill>
        <patternFill patternType="gray0625">
          <fgColor theme="0" tint="-0.89996032593768116"/>
          <bgColor rgb="FFFFFFFF"/>
        </patternFill>
      </fill>
    </dxf>
    <dxf>
      <fill>
        <patternFill patternType="gray0625">
          <fgColor theme="0" tint="-0.89996032593768116"/>
          <bgColor rgb="FFFFFFFF"/>
        </patternFill>
      </fill>
    </dxf>
    <dxf>
      <font>
        <strike val="0"/>
        <color theme="8" tint="-0.499984740745262"/>
      </font>
      <fill>
        <patternFill>
          <bgColor rgb="FFFEE6CE"/>
        </patternFill>
      </fill>
    </dxf>
    <dxf>
      <font>
        <color rgb="FFFFFFFF"/>
      </font>
      <fill>
        <patternFill patternType="none">
          <bgColor auto="1"/>
        </patternFill>
      </fill>
    </dxf>
    <dxf>
      <fill>
        <patternFill patternType="solid">
          <fgColor auto="1"/>
          <bgColor rgb="FFFFFFFF"/>
        </patternFill>
      </fill>
    </dxf>
    <dxf>
      <fill>
        <patternFill patternType="gray0625">
          <fgColor auto="1"/>
          <bgColor theme="0"/>
        </patternFill>
      </fill>
    </dxf>
    <dxf>
      <fill>
        <patternFill patternType="none">
          <bgColor auto="1"/>
        </patternFill>
      </fill>
    </dxf>
    <dxf>
      <font>
        <color rgb="FFFFFFFF"/>
      </font>
    </dxf>
    <dxf>
      <font>
        <color theme="8" tint="-0.499984740745262"/>
      </font>
      <fill>
        <patternFill>
          <bgColor rgb="FFFEE6CE"/>
        </patternFill>
      </fill>
    </dxf>
    <dxf>
      <font>
        <color theme="8" tint="-0.499984740745262"/>
      </font>
      <fill>
        <patternFill>
          <bgColor rgb="FFFEE6CE"/>
        </patternFill>
      </fill>
    </dxf>
    <dxf>
      <font>
        <color theme="8" tint="-0.499984740745262"/>
      </font>
      <fill>
        <patternFill>
          <bgColor rgb="FFFEE6CE"/>
        </patternFill>
      </fill>
    </dxf>
    <dxf>
      <font>
        <color theme="8" tint="-0.499984740745262"/>
      </font>
      <fill>
        <patternFill>
          <bgColor rgb="FFFEE6CE"/>
        </patternFill>
      </fill>
    </dxf>
    <dxf>
      <font>
        <color theme="8" tint="-0.499984740745262"/>
      </font>
      <fill>
        <patternFill>
          <bgColor rgb="FFFEE6CE"/>
        </patternFill>
      </fill>
    </dxf>
    <dxf>
      <fill>
        <patternFill>
          <bgColor theme="0"/>
        </patternFill>
      </fill>
    </dxf>
    <dxf>
      <fill>
        <patternFill>
          <bgColor theme="3" tint="0.89996032593768116"/>
        </patternFill>
      </fill>
    </dxf>
    <dxf>
      <font>
        <color theme="8" tint="-0.499984740745262"/>
      </font>
      <fill>
        <patternFill>
          <bgColor rgb="FFFEE6CE"/>
        </patternFill>
      </fill>
    </dxf>
    <dxf>
      <font>
        <color theme="8" tint="-0.499984740745262"/>
      </font>
      <fill>
        <patternFill>
          <bgColor rgb="FFFEE6CE"/>
        </patternFill>
      </fill>
    </dxf>
    <dxf>
      <font>
        <color theme="8" tint="-0.499984740745262"/>
      </font>
      <fill>
        <patternFill>
          <bgColor rgb="FFFEE6CE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rgb="FF764300"/>
      </font>
      <fill>
        <patternFill>
          <bgColor rgb="FFFFEACD"/>
        </patternFill>
      </fill>
    </dxf>
    <dxf>
      <font>
        <color rgb="FF2F3C0C"/>
      </font>
      <fill>
        <patternFill>
          <bgColor rgb="FFEDF6D2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theme="8" tint="-0.499984740745262"/>
      </font>
      <fill>
        <patternFill>
          <bgColor rgb="FFFEE6CE"/>
        </patternFill>
      </fill>
    </dxf>
    <dxf>
      <font>
        <color theme="8" tint="-0.499984740745262"/>
      </font>
      <fill>
        <patternFill>
          <bgColor rgb="FFFEE6CE"/>
        </patternFill>
      </fill>
    </dxf>
    <dxf>
      <font>
        <color theme="8" tint="-0.499984740745262"/>
      </font>
      <fill>
        <patternFill>
          <bgColor rgb="FFFEE6CE"/>
        </patternFill>
      </fill>
    </dxf>
    <dxf>
      <font>
        <color theme="8" tint="-0.499984740745262"/>
      </font>
      <fill>
        <patternFill>
          <bgColor rgb="FFFEE6CE"/>
        </patternFill>
      </fill>
    </dxf>
    <dxf>
      <font>
        <color theme="8" tint="-0.499984740745262"/>
      </font>
      <fill>
        <patternFill>
          <bgColor rgb="FFFEE6CE"/>
        </patternFill>
      </fill>
    </dxf>
    <dxf>
      <font>
        <color theme="8" tint="-0.499984740745262"/>
      </font>
      <fill>
        <patternFill>
          <bgColor rgb="FFFEE6CE"/>
        </patternFill>
      </fill>
    </dxf>
    <dxf>
      <fill>
        <patternFill patternType="solid">
          <fgColor auto="1"/>
          <bgColor rgb="FFFFFFFF"/>
        </patternFill>
      </fill>
    </dxf>
    <dxf>
      <font>
        <color theme="8" tint="-0.499984740745262"/>
      </font>
      <fill>
        <patternFill>
          <bgColor rgb="FFFEE6CE"/>
        </patternFill>
      </fill>
    </dxf>
    <dxf>
      <font>
        <color theme="4" tint="-0.499984740745262"/>
      </font>
      <fill>
        <patternFill>
          <bgColor theme="4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rgb="FF764300"/>
      </font>
      <fill>
        <patternFill>
          <bgColor rgb="FFFFEACD"/>
        </patternFill>
      </fill>
    </dxf>
    <dxf>
      <font>
        <color rgb="FF2F3C0C"/>
      </font>
      <fill>
        <patternFill>
          <bgColor rgb="FFEDF6D2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ill>
        <patternFill patternType="solid">
          <fgColor auto="1"/>
          <bgColor rgb="FFFFFFFF"/>
        </patternFill>
      </fill>
    </dxf>
    <dxf>
      <font>
        <color theme="8" tint="-0.499984740745262"/>
      </font>
      <fill>
        <patternFill>
          <bgColor rgb="FFFEE6CE"/>
        </patternFill>
      </fill>
    </dxf>
    <dxf>
      <fill>
        <patternFill patternType="solid">
          <fgColor auto="1"/>
          <bgColor rgb="FFFFFFFF"/>
        </patternFill>
      </fill>
    </dxf>
    <dxf>
      <font>
        <color theme="8" tint="-0.499984740745262"/>
      </font>
      <fill>
        <patternFill>
          <bgColor rgb="FFFEE6CE"/>
        </patternFill>
      </fill>
    </dxf>
    <dxf>
      <fill>
        <patternFill patternType="solid">
          <fgColor auto="1"/>
          <bgColor rgb="FFFFFFFF"/>
        </patternFill>
      </fill>
    </dxf>
    <dxf>
      <font>
        <b val="0"/>
        <i/>
      </font>
    </dxf>
    <dxf>
      <fill>
        <patternFill patternType="solid">
          <fgColor auto="1"/>
          <bgColor rgb="FFFFFFFF"/>
        </patternFill>
      </fill>
    </dxf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  <dxf>
      <fill>
        <patternFill patternType="gray0625">
          <fgColor theme="0" tint="-0.89996032593768116"/>
          <bgColor rgb="FFFFFFFF"/>
        </patternFill>
      </fill>
    </dxf>
    <dxf>
      <font>
        <color rgb="FFFFFFFF"/>
      </font>
      <fill>
        <patternFill patternType="none">
          <bgColor auto="1"/>
        </patternFill>
      </fill>
    </dxf>
    <dxf>
      <fill>
        <patternFill patternType="solid">
          <fgColor auto="1"/>
          <bgColor rgb="FFFFFFFF"/>
        </patternFill>
      </fill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8" tint="-0.499984740745262"/>
      </font>
      <fill>
        <patternFill>
          <bgColor rgb="FFFEE6CE"/>
        </patternFill>
      </fill>
    </dxf>
    <dxf>
      <font>
        <color theme="4" tint="-0.499984740745262"/>
      </font>
      <fill>
        <patternFill>
          <bgColor theme="4" tint="0.79998168889431442"/>
        </patternFill>
      </fill>
    </dxf>
    <dxf>
      <fill>
        <patternFill patternType="solid">
          <fgColor auto="1"/>
          <bgColor rgb="FFFFFFFF"/>
        </patternFill>
      </fill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8" tint="-0.499984740745262"/>
      </font>
      <fill>
        <patternFill>
          <bgColor rgb="FFFEE6CE"/>
        </patternFill>
      </fill>
    </dxf>
    <dxf>
      <font>
        <color theme="8" tint="-0.499984740745262"/>
      </font>
      <fill>
        <patternFill>
          <bgColor rgb="FFFEE6CE"/>
        </patternFill>
      </fill>
    </dxf>
    <dxf>
      <fill>
        <patternFill>
          <bgColor theme="4" tint="0.79998168889431442"/>
        </patternFill>
      </fill>
    </dxf>
    <dxf>
      <font>
        <color theme="8" tint="-0.499984740745262"/>
      </font>
      <fill>
        <patternFill>
          <bgColor rgb="FFFEE6CE"/>
        </patternFill>
      </fill>
    </dxf>
    <dxf>
      <font>
        <color theme="4" tint="-0.499984740745262"/>
      </font>
      <fill>
        <patternFill>
          <bgColor theme="4" tint="0.79998168889431442"/>
        </patternFill>
      </fill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rgb="FF764300"/>
      </font>
      <fill>
        <patternFill>
          <bgColor rgb="FFFFEACD"/>
        </patternFill>
      </fill>
    </dxf>
    <dxf>
      <font>
        <color rgb="FF2F3C0C"/>
      </font>
      <fill>
        <patternFill>
          <bgColor rgb="FFEDF6D2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theme="8" tint="-0.499984740745262"/>
      </font>
      <fill>
        <patternFill>
          <bgColor rgb="FFFEE6CE"/>
        </patternFill>
      </fill>
    </dxf>
    <dxf>
      <font>
        <color theme="8" tint="-0.499984740745262"/>
      </font>
      <fill>
        <patternFill>
          <bgColor rgb="FFFEE6CE"/>
        </patternFill>
      </fill>
    </dxf>
    <dxf>
      <fill>
        <patternFill patternType="solid">
          <fgColor auto="1"/>
          <bgColor rgb="FFFFFFFF"/>
        </patternFill>
      </fill>
    </dxf>
    <dxf>
      <fill>
        <patternFill patternType="solid">
          <fgColor auto="1"/>
          <bgColor rgb="FFFFFFFF"/>
        </patternFill>
      </fill>
    </dxf>
    <dxf>
      <font>
        <b val="0"/>
        <i/>
        <color auto="1"/>
      </font>
    </dxf>
    <dxf>
      <font>
        <b val="0"/>
        <i/>
      </font>
    </dxf>
    <dxf>
      <font>
        <color theme="5" tint="-0.499984740745262"/>
      </font>
      <fill>
        <patternFill>
          <bgColor theme="5" tint="0.79998168889431442"/>
        </patternFill>
      </fill>
    </dxf>
    <dxf>
      <font>
        <color rgb="FF764300"/>
      </font>
      <fill>
        <patternFill>
          <bgColor rgb="FFFFEACD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2F3C0C"/>
      </font>
      <fill>
        <patternFill>
          <bgColor rgb="FFEDF6D2"/>
        </patternFill>
      </fill>
    </dxf>
  </dxfs>
  <tableStyles count="0" defaultTableStyle="TableStyleMedium2" defaultPivotStyle="PivotStyleLight16"/>
  <colors>
    <mruColors>
      <color rgb="FFF4F6D2"/>
      <color rgb="FFFFFFFF"/>
      <color rgb="FFFEE6CE"/>
      <color rgb="FFCE186F"/>
      <color rgb="FFFAD6E7"/>
      <color rgb="FFE73088"/>
      <color rgb="FF8398A9"/>
      <color rgb="FFFFD7CC"/>
      <color rgb="FFFF99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2</xdr:row>
      <xdr:rowOff>0</xdr:rowOff>
    </xdr:from>
    <xdr:ext cx="6286500" cy="3829050"/>
    <xdr:pic>
      <xdr:nvPicPr>
        <xdr:cNvPr id="7" name="Image 6" descr="K:\DEI\02 POLE EAU DANS LA VILLE\01_PARISPLUIE\03_REVISION ZONAGE PLUVIAL\03_Projet documents révisés\Cartes\Octobre 2025\ZonagePluvialA3PaysageSimple_Light.png">
          <a:extLst>
            <a:ext uri="{FF2B5EF4-FFF2-40B4-BE49-F238E27FC236}">
              <a16:creationId xmlns:a16="http://schemas.microsoft.com/office/drawing/2014/main" id="{727D7D64-115C-416F-BFB4-5BAA7D3676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6" t="7187" b="11494"/>
        <a:stretch/>
      </xdr:blipFill>
      <xdr:spPr bwMode="auto">
        <a:xfrm>
          <a:off x="10525125" y="381000"/>
          <a:ext cx="6286500" cy="3829050"/>
        </a:xfrm>
        <a:prstGeom prst="rect">
          <a:avLst/>
        </a:prstGeom>
        <a:noFill/>
        <a:ln w="12700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2</xdr:row>
      <xdr:rowOff>0</xdr:rowOff>
    </xdr:from>
    <xdr:to>
      <xdr:col>3</xdr:col>
      <xdr:colOff>759650</xdr:colOff>
      <xdr:row>10</xdr:row>
      <xdr:rowOff>228599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3D61B7D-9E40-4070-9B4A-EFD4ECF88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81000"/>
          <a:ext cx="1521650" cy="22288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16</xdr:col>
      <xdr:colOff>895350</xdr:colOff>
      <xdr:row>19</xdr:row>
      <xdr:rowOff>38100</xdr:rowOff>
    </xdr:from>
    <xdr:to>
      <xdr:col>16</xdr:col>
      <xdr:colOff>895351</xdr:colOff>
      <xdr:row>23</xdr:row>
      <xdr:rowOff>38100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44C00903-4BC1-48E1-BF46-9919CE35F0D1}"/>
            </a:ext>
          </a:extLst>
        </xdr:cNvPr>
        <xdr:cNvCxnSpPr/>
      </xdr:nvCxnSpPr>
      <xdr:spPr>
        <a:xfrm flipH="1">
          <a:off x="14801850" y="4495800"/>
          <a:ext cx="1" cy="91440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142875</xdr:colOff>
      <xdr:row>2</xdr:row>
      <xdr:rowOff>0</xdr:rowOff>
    </xdr:from>
    <xdr:to>
      <xdr:col>18</xdr:col>
      <xdr:colOff>1024890</xdr:colOff>
      <xdr:row>4</xdr:row>
      <xdr:rowOff>209549</xdr:rowOff>
    </xdr:to>
    <xdr:pic>
      <xdr:nvPicPr>
        <xdr:cNvPr id="6" name="Image 5" descr="Une image contenant Police, Graphique, logo, graphisme&#10;&#10;Description générée automatiquement">
          <a:extLst>
            <a:ext uri="{FF2B5EF4-FFF2-40B4-BE49-F238E27FC236}">
              <a16:creationId xmlns:a16="http://schemas.microsoft.com/office/drawing/2014/main" id="{4DDFCB64-92B9-4177-A22C-9FFE4280EC54}"/>
            </a:ext>
          </a:extLst>
        </xdr:cNvPr>
        <xdr:cNvPicPr/>
      </xdr:nvPicPr>
      <xdr:blipFill rotWithShape="1">
        <a:blip xmlns:r="http://schemas.openxmlformats.org/officeDocument/2006/relationships" r:embed="rId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-12273" t="-10892" r="-13415" b="-10349"/>
        <a:stretch/>
      </xdr:blipFill>
      <xdr:spPr bwMode="auto">
        <a:xfrm>
          <a:off x="17196435" y="373380"/>
          <a:ext cx="882015" cy="7734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2</xdr:row>
      <xdr:rowOff>0</xdr:rowOff>
    </xdr:from>
    <xdr:ext cx="6286500" cy="3829050"/>
    <xdr:pic>
      <xdr:nvPicPr>
        <xdr:cNvPr id="8" name="Image 7" descr="K:\DEI\02 POLE EAU DANS LA VILLE\01_PARISPLUIE\03_REVISION ZONAGE PLUVIAL\03_Projet documents révisés\Cartes\Octobre 2025\ZonagePluvialA3PaysageSimple_Light.png">
          <a:extLst>
            <a:ext uri="{FF2B5EF4-FFF2-40B4-BE49-F238E27FC236}">
              <a16:creationId xmlns:a16="http://schemas.microsoft.com/office/drawing/2014/main" id="{FE450B5E-E3D9-469A-B0F1-3FC4562D75C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6" t="7187" b="11494"/>
        <a:stretch/>
      </xdr:blipFill>
      <xdr:spPr bwMode="auto">
        <a:xfrm>
          <a:off x="11719560" y="373380"/>
          <a:ext cx="6286500" cy="3829050"/>
        </a:xfrm>
        <a:prstGeom prst="rect">
          <a:avLst/>
        </a:prstGeom>
        <a:noFill/>
        <a:ln w="12700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2</xdr:row>
      <xdr:rowOff>0</xdr:rowOff>
    </xdr:from>
    <xdr:to>
      <xdr:col>3</xdr:col>
      <xdr:colOff>759650</xdr:colOff>
      <xdr:row>10</xdr:row>
      <xdr:rowOff>228599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1C4AA3F-783F-4D8A-8AB0-15664403A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81000"/>
          <a:ext cx="1521650" cy="22288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16</xdr:col>
      <xdr:colOff>895350</xdr:colOff>
      <xdr:row>19</xdr:row>
      <xdr:rowOff>38100</xdr:rowOff>
    </xdr:from>
    <xdr:to>
      <xdr:col>16</xdr:col>
      <xdr:colOff>895351</xdr:colOff>
      <xdr:row>23</xdr:row>
      <xdr:rowOff>38100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0DC3A261-930A-4EB8-BFF7-F46E49D893B6}"/>
            </a:ext>
          </a:extLst>
        </xdr:cNvPr>
        <xdr:cNvCxnSpPr/>
      </xdr:nvCxnSpPr>
      <xdr:spPr>
        <a:xfrm flipH="1">
          <a:off x="14801850" y="4495800"/>
          <a:ext cx="1" cy="91440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123825</xdr:colOff>
      <xdr:row>2</xdr:row>
      <xdr:rowOff>0</xdr:rowOff>
    </xdr:from>
    <xdr:to>
      <xdr:col>18</xdr:col>
      <xdr:colOff>1005840</xdr:colOff>
      <xdr:row>4</xdr:row>
      <xdr:rowOff>209549</xdr:rowOff>
    </xdr:to>
    <xdr:pic>
      <xdr:nvPicPr>
        <xdr:cNvPr id="6" name="Image 5" descr="Une image contenant Police, Graphique, logo, graphisme&#10;&#10;Description générée automatiquement">
          <a:extLst>
            <a:ext uri="{FF2B5EF4-FFF2-40B4-BE49-F238E27FC236}">
              <a16:creationId xmlns:a16="http://schemas.microsoft.com/office/drawing/2014/main" id="{8A016C0A-DE80-4F1E-B8A2-1176B33771F2}"/>
            </a:ext>
          </a:extLst>
        </xdr:cNvPr>
        <xdr:cNvPicPr/>
      </xdr:nvPicPr>
      <xdr:blipFill rotWithShape="1">
        <a:blip xmlns:r="http://schemas.openxmlformats.org/officeDocument/2006/relationships" r:embed="rId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-12273" t="-10892" r="-13415" b="-10349"/>
        <a:stretch/>
      </xdr:blipFill>
      <xdr:spPr bwMode="auto">
        <a:xfrm>
          <a:off x="16935450" y="381000"/>
          <a:ext cx="923925" cy="7810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Ville">
      <a:dk1>
        <a:sysClr val="windowText" lastClr="000000"/>
      </a:dk1>
      <a:lt1>
        <a:srgbClr val="F0F0F0"/>
      </a:lt1>
      <a:dk2>
        <a:srgbClr val="071F32"/>
      </a:dk2>
      <a:lt2>
        <a:srgbClr val="25DCCC"/>
      </a:lt2>
      <a:accent1>
        <a:srgbClr val="FFCD00"/>
      </a:accent1>
      <a:accent2>
        <a:srgbClr val="FB394A"/>
      </a:accent2>
      <a:accent3>
        <a:srgbClr val="31EEF3"/>
      </a:accent3>
      <a:accent4>
        <a:srgbClr val="354BCF"/>
      </a:accent4>
      <a:accent5>
        <a:srgbClr val="FF3300"/>
      </a:accent5>
      <a:accent6>
        <a:srgbClr val="3ECD2E"/>
      </a:accent6>
      <a:hlink>
        <a:srgbClr val="0563C1"/>
      </a:hlink>
      <a:folHlink>
        <a:srgbClr val="954F72"/>
      </a:folHlink>
    </a:clrScheme>
    <a:fontScheme name="Montserrat">
      <a:majorFont>
        <a:latin typeface="Montserrat"/>
        <a:ea typeface=""/>
        <a:cs typeface=""/>
      </a:majorFont>
      <a:minorFont>
        <a:latin typeface="Montserra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2D34-CF8D-42E4-B23A-93E83B1D929A}">
  <sheetPr>
    <tabColor theme="2" tint="0.79998168889431442"/>
  </sheetPr>
  <dimension ref="B1:AA152"/>
  <sheetViews>
    <sheetView showGridLines="0" tabSelected="1" zoomScaleNormal="100" workbookViewId="0">
      <selection activeCell="F17" sqref="F17:J17"/>
    </sheetView>
  </sheetViews>
  <sheetFormatPr defaultColWidth="11" defaultRowHeight="18" customHeight="1"/>
  <cols>
    <col min="1" max="1" width="1" style="1" customWidth="1"/>
    <col min="2" max="2" width="2.5" style="1" customWidth="1"/>
    <col min="3" max="3" width="8" style="1" customWidth="1"/>
    <col min="4" max="19" width="11.69921875" style="1" customWidth="1"/>
    <col min="20" max="16384" width="11" style="1"/>
  </cols>
  <sheetData>
    <row r="1" spans="2:19" ht="7.5" customHeight="1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2:19" ht="22.5" customHeight="1"/>
    <row r="3" spans="2:19" ht="22.5" customHeight="1">
      <c r="E3" s="3" t="s">
        <v>0</v>
      </c>
      <c r="F3" s="4"/>
      <c r="G3" s="4"/>
      <c r="H3" s="4"/>
      <c r="I3" s="4"/>
      <c r="J3" s="4"/>
      <c r="K3" s="4"/>
      <c r="L3" s="4"/>
      <c r="N3" s="5"/>
      <c r="O3" s="5"/>
      <c r="P3" s="5"/>
      <c r="Q3" s="5"/>
      <c r="R3" s="5"/>
      <c r="S3" s="5"/>
    </row>
    <row r="4" spans="2:19" ht="22.5" customHeight="1">
      <c r="E4" s="3" t="s">
        <v>1</v>
      </c>
      <c r="F4" s="6"/>
      <c r="G4" s="6"/>
      <c r="N4" s="5"/>
      <c r="O4" s="5"/>
      <c r="P4" s="5"/>
      <c r="Q4" s="5"/>
      <c r="R4" s="5"/>
      <c r="S4" s="5"/>
    </row>
    <row r="5" spans="2:19" ht="22.5" customHeight="1">
      <c r="E5" s="7" t="s">
        <v>2</v>
      </c>
      <c r="F5" s="8"/>
      <c r="G5" s="8"/>
      <c r="N5" s="5"/>
      <c r="O5" s="5"/>
      <c r="P5" s="5"/>
      <c r="Q5" s="5"/>
      <c r="R5" s="5"/>
      <c r="S5" s="5"/>
    </row>
    <row r="6" spans="2:19" ht="18" customHeight="1">
      <c r="E6" s="9"/>
      <c r="F6" s="9"/>
      <c r="G6" s="9"/>
      <c r="J6" s="10"/>
      <c r="N6" s="5"/>
      <c r="O6" s="5"/>
      <c r="P6" s="5"/>
      <c r="Q6" s="5"/>
      <c r="R6" s="5"/>
      <c r="S6" s="5"/>
    </row>
    <row r="7" spans="2:19" ht="18" customHeight="1">
      <c r="E7" s="9"/>
      <c r="N7" s="5"/>
      <c r="O7" s="5"/>
      <c r="P7" s="5"/>
      <c r="Q7" s="5"/>
      <c r="R7" s="5"/>
      <c r="S7" s="5"/>
    </row>
    <row r="8" spans="2:19" ht="18" customHeight="1" thickBot="1">
      <c r="E8" s="338" t="s">
        <v>3</v>
      </c>
      <c r="N8" s="5"/>
      <c r="O8" s="5"/>
      <c r="P8" s="5"/>
      <c r="Q8" s="5"/>
      <c r="R8" s="5"/>
      <c r="S8" s="5"/>
    </row>
    <row r="9" spans="2:19" ht="18" customHeight="1">
      <c r="E9" s="486" t="s">
        <v>4</v>
      </c>
      <c r="F9" s="487"/>
      <c r="G9" s="487"/>
      <c r="H9" s="487"/>
      <c r="I9" s="487"/>
      <c r="J9" s="488"/>
      <c r="N9" s="5"/>
      <c r="O9" s="5"/>
      <c r="P9" s="5"/>
      <c r="Q9" s="5"/>
      <c r="R9" s="5"/>
      <c r="S9" s="5"/>
    </row>
    <row r="10" spans="2:19" ht="18" customHeight="1">
      <c r="E10" s="483" t="s">
        <v>5</v>
      </c>
      <c r="F10" s="484"/>
      <c r="G10" s="484"/>
      <c r="H10" s="484"/>
      <c r="I10" s="484"/>
      <c r="J10" s="485"/>
      <c r="N10" s="5"/>
      <c r="O10" s="5"/>
      <c r="P10" s="5"/>
      <c r="Q10" s="5"/>
      <c r="R10" s="5"/>
      <c r="S10" s="5"/>
    </row>
    <row r="11" spans="2:19" ht="18" customHeight="1" thickBot="1">
      <c r="E11" s="511" t="s">
        <v>6</v>
      </c>
      <c r="F11" s="512"/>
      <c r="G11" s="512"/>
      <c r="H11" s="512"/>
      <c r="I11" s="512"/>
      <c r="J11" s="513"/>
      <c r="N11" s="5"/>
      <c r="O11" s="5"/>
      <c r="P11" s="5"/>
      <c r="Q11" s="5"/>
      <c r="R11" s="5"/>
      <c r="S11" s="5"/>
    </row>
    <row r="12" spans="2:19" ht="18" customHeight="1">
      <c r="N12" s="5"/>
      <c r="O12" s="5"/>
      <c r="P12" s="5"/>
      <c r="Q12" s="5"/>
      <c r="R12" s="5"/>
      <c r="S12" s="5"/>
    </row>
    <row r="13" spans="2:19" ht="18" customHeight="1">
      <c r="N13" s="5"/>
      <c r="O13" s="5"/>
      <c r="P13" s="5"/>
      <c r="Q13" s="5"/>
      <c r="R13" s="5"/>
      <c r="S13" s="5"/>
    </row>
    <row r="14" spans="2:19" ht="18" customHeight="1">
      <c r="N14" s="5"/>
      <c r="O14" s="5"/>
      <c r="P14" s="5"/>
      <c r="Q14" s="5"/>
      <c r="R14" s="5"/>
      <c r="S14" s="5"/>
    </row>
    <row r="15" spans="2:19" ht="18" customHeight="1">
      <c r="B15" s="11">
        <v>1</v>
      </c>
      <c r="C15" s="448" t="s">
        <v>7</v>
      </c>
      <c r="D15" s="12"/>
      <c r="E15" s="12"/>
      <c r="F15" s="12"/>
      <c r="G15" s="12"/>
      <c r="H15" s="12"/>
      <c r="I15" s="12"/>
      <c r="J15" s="12"/>
      <c r="N15" s="5"/>
      <c r="O15" s="5"/>
      <c r="P15" s="5"/>
      <c r="Q15" s="5"/>
      <c r="R15" s="5"/>
      <c r="S15" s="5"/>
    </row>
    <row r="16" spans="2:19" ht="18" customHeight="1" thickBot="1">
      <c r="F16" s="13"/>
      <c r="G16" s="13"/>
      <c r="H16" s="13"/>
      <c r="I16" s="13"/>
      <c r="J16" s="13"/>
      <c r="N16" s="5"/>
      <c r="O16" s="5"/>
      <c r="P16" s="5"/>
      <c r="Q16" s="5"/>
      <c r="R16" s="5"/>
      <c r="S16" s="5"/>
    </row>
    <row r="17" spans="2:20" ht="18" customHeight="1">
      <c r="C17" s="14" t="s">
        <v>8</v>
      </c>
      <c r="D17" s="15"/>
      <c r="E17" s="15"/>
      <c r="F17" s="508"/>
      <c r="G17" s="509"/>
      <c r="H17" s="509"/>
      <c r="I17" s="509"/>
      <c r="J17" s="510"/>
      <c r="N17" s="5"/>
      <c r="O17" s="5"/>
      <c r="P17" s="5"/>
      <c r="Q17" s="5"/>
      <c r="R17" s="5"/>
      <c r="S17" s="5"/>
    </row>
    <row r="18" spans="2:20" ht="18" customHeight="1" thickBot="1">
      <c r="C18" s="16" t="s">
        <v>9</v>
      </c>
      <c r="D18" s="17"/>
      <c r="E18" s="17"/>
      <c r="F18" s="514"/>
      <c r="G18" s="515"/>
      <c r="H18" s="515"/>
      <c r="I18" s="515"/>
      <c r="J18" s="516"/>
      <c r="N18" s="5"/>
      <c r="O18" s="5"/>
      <c r="P18" s="5"/>
      <c r="Q18" s="5"/>
      <c r="R18" s="5"/>
      <c r="S18" s="5"/>
    </row>
    <row r="19" spans="2:20" ht="18" customHeight="1" thickBot="1">
      <c r="C19" s="18"/>
      <c r="D19" s="18"/>
      <c r="E19" s="18"/>
      <c r="F19" s="18"/>
      <c r="G19" s="18"/>
      <c r="H19" s="18"/>
      <c r="I19" s="18"/>
      <c r="J19" s="18"/>
      <c r="M19" s="1" t="s">
        <v>10</v>
      </c>
    </row>
    <row r="20" spans="2:20" ht="18" customHeight="1" thickBot="1">
      <c r="C20" s="19" t="s">
        <v>11</v>
      </c>
      <c r="D20" s="20"/>
      <c r="E20" s="21"/>
      <c r="F20" s="508"/>
      <c r="G20" s="510"/>
      <c r="N20" s="339" t="s">
        <v>12</v>
      </c>
      <c r="R20" s="339" t="s">
        <v>13</v>
      </c>
      <c r="S20" s="22"/>
    </row>
    <row r="21" spans="2:20" ht="18" customHeight="1" thickBot="1">
      <c r="C21" s="23" t="s">
        <v>14</v>
      </c>
      <c r="D21" s="24"/>
      <c r="E21" s="25"/>
      <c r="F21" s="514"/>
      <c r="G21" s="516"/>
      <c r="N21" s="26" t="s">
        <v>15</v>
      </c>
      <c r="O21" s="27" t="s">
        <v>16</v>
      </c>
      <c r="R21" s="575" t="s">
        <v>17</v>
      </c>
      <c r="S21" s="576"/>
    </row>
    <row r="22" spans="2:20" ht="18" customHeight="1" thickBot="1">
      <c r="N22" s="28" t="s">
        <v>18</v>
      </c>
      <c r="O22" s="27" t="s">
        <v>19</v>
      </c>
    </row>
    <row r="23" spans="2:20" ht="18" customHeight="1" thickBot="1">
      <c r="C23" s="29" t="s">
        <v>20</v>
      </c>
      <c r="D23" s="30"/>
      <c r="E23" s="30"/>
      <c r="F23" s="491"/>
      <c r="G23" s="492"/>
      <c r="H23" s="454"/>
      <c r="N23" s="31" t="s">
        <v>21</v>
      </c>
      <c r="O23" s="27" t="s">
        <v>22</v>
      </c>
      <c r="R23" s="587" t="s">
        <v>23</v>
      </c>
      <c r="S23" s="588"/>
    </row>
    <row r="24" spans="2:20" ht="18" customHeight="1">
      <c r="C24" s="340" t="s">
        <v>24</v>
      </c>
      <c r="K24" s="33"/>
      <c r="L24" s="33"/>
    </row>
    <row r="25" spans="2:20" s="34" customFormat="1" ht="18" customHeight="1">
      <c r="C25" s="1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</row>
    <row r="26" spans="2:20" s="34" customFormat="1" ht="18" customHeight="1">
      <c r="C26" s="1"/>
      <c r="D26" s="1"/>
      <c r="E26" s="1"/>
      <c r="F26" s="1"/>
      <c r="G26" s="1"/>
      <c r="H26" s="1"/>
      <c r="I26" s="1"/>
      <c r="J26" s="1"/>
      <c r="K26" s="1"/>
    </row>
    <row r="27" spans="2:20" s="34" customFormat="1" ht="18" customHeight="1">
      <c r="C27" s="35"/>
      <c r="K27" s="1"/>
    </row>
    <row r="28" spans="2:20" ht="18" customHeight="1">
      <c r="B28" s="11">
        <v>2</v>
      </c>
      <c r="C28" s="448" t="s">
        <v>25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7"/>
      <c r="T28" s="34"/>
    </row>
    <row r="29" spans="2:20" ht="7.5" customHeight="1">
      <c r="C29" s="38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T29" s="34"/>
    </row>
    <row r="30" spans="2:20" s="34" customFormat="1" ht="18" customHeight="1">
      <c r="C30" s="469" t="s">
        <v>26</v>
      </c>
      <c r="D30" s="39" t="s">
        <v>27</v>
      </c>
      <c r="E30" s="40"/>
      <c r="F30" s="40"/>
      <c r="G30" s="40"/>
      <c r="H30" s="40"/>
      <c r="I30" s="40"/>
      <c r="J30" s="40"/>
      <c r="K30" s="5"/>
      <c r="L30" s="5"/>
      <c r="M30" s="5"/>
      <c r="N30" s="5"/>
      <c r="O30" s="40"/>
      <c r="P30" s="40"/>
      <c r="Q30" s="40"/>
      <c r="R30" s="40"/>
      <c r="S30" s="40"/>
    </row>
    <row r="31" spans="2:20" ht="18" customHeight="1">
      <c r="C31" s="469"/>
      <c r="D31" s="41" t="s">
        <v>28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42"/>
      <c r="S31" s="5"/>
      <c r="T31" s="34"/>
    </row>
    <row r="32" spans="2:20" ht="27" customHeight="1" thickBot="1">
      <c r="S32" s="34"/>
    </row>
    <row r="33" spans="3:19" ht="18" customHeight="1">
      <c r="C33" s="478" t="s">
        <v>29</v>
      </c>
      <c r="D33" s="475" t="s">
        <v>30</v>
      </c>
      <c r="E33" s="43" t="s">
        <v>31</v>
      </c>
      <c r="F33" s="44"/>
      <c r="G33" s="44"/>
      <c r="H33" s="45"/>
      <c r="I33" s="46" t="s">
        <v>32</v>
      </c>
      <c r="J33" s="47"/>
      <c r="K33" s="47"/>
      <c r="L33" s="47"/>
      <c r="M33" s="47"/>
      <c r="N33" s="47"/>
      <c r="O33" s="47"/>
      <c r="P33" s="48"/>
      <c r="Q33" s="49"/>
      <c r="R33" s="50" t="s">
        <v>33</v>
      </c>
      <c r="S33" s="51"/>
    </row>
    <row r="34" spans="3:19" ht="18" customHeight="1">
      <c r="C34" s="479"/>
      <c r="D34" s="476"/>
      <c r="E34" s="493" t="s">
        <v>34</v>
      </c>
      <c r="F34" s="494"/>
      <c r="G34" s="495"/>
      <c r="H34" s="502" t="s">
        <v>35</v>
      </c>
      <c r="I34" s="504" t="s">
        <v>36</v>
      </c>
      <c r="J34" s="489" t="s">
        <v>37</v>
      </c>
      <c r="K34" s="489"/>
      <c r="L34" s="489" t="s">
        <v>38</v>
      </c>
      <c r="M34" s="489" t="s">
        <v>39</v>
      </c>
      <c r="N34" s="489" t="s">
        <v>40</v>
      </c>
      <c r="O34" s="489" t="s">
        <v>41</v>
      </c>
      <c r="P34" s="591" t="s">
        <v>42</v>
      </c>
      <c r="Q34" s="479" t="s">
        <v>43</v>
      </c>
      <c r="R34" s="504" t="s">
        <v>44</v>
      </c>
      <c r="S34" s="476" t="s">
        <v>45</v>
      </c>
    </row>
    <row r="35" spans="3:19" ht="18" customHeight="1">
      <c r="C35" s="479"/>
      <c r="D35" s="476"/>
      <c r="E35" s="496"/>
      <c r="F35" s="497"/>
      <c r="G35" s="498"/>
      <c r="H35" s="502"/>
      <c r="I35" s="505"/>
      <c r="J35" s="490"/>
      <c r="K35" s="490"/>
      <c r="L35" s="490"/>
      <c r="M35" s="490"/>
      <c r="N35" s="490"/>
      <c r="O35" s="490"/>
      <c r="P35" s="592"/>
      <c r="Q35" s="479"/>
      <c r="R35" s="505"/>
      <c r="S35" s="476"/>
    </row>
    <row r="36" spans="3:19" ht="18" customHeight="1">
      <c r="C36" s="479"/>
      <c r="D36" s="476"/>
      <c r="E36" s="496"/>
      <c r="F36" s="497"/>
      <c r="G36" s="498"/>
      <c r="H36" s="502"/>
      <c r="I36" s="505"/>
      <c r="J36" s="490"/>
      <c r="K36" s="490"/>
      <c r="L36" s="490"/>
      <c r="M36" s="490"/>
      <c r="N36" s="490"/>
      <c r="O36" s="490"/>
      <c r="P36" s="592"/>
      <c r="Q36" s="479"/>
      <c r="R36" s="505"/>
      <c r="S36" s="476"/>
    </row>
    <row r="37" spans="3:19" ht="18" customHeight="1">
      <c r="C37" s="479"/>
      <c r="D37" s="476"/>
      <c r="E37" s="496"/>
      <c r="F37" s="497"/>
      <c r="G37" s="498"/>
      <c r="H37" s="503"/>
      <c r="I37" s="505"/>
      <c r="J37" s="52" t="s">
        <v>46</v>
      </c>
      <c r="K37" s="52" t="s">
        <v>47</v>
      </c>
      <c r="L37" s="490"/>
      <c r="M37" s="490"/>
      <c r="N37" s="490"/>
      <c r="O37" s="490"/>
      <c r="P37" s="592"/>
      <c r="Q37" s="479"/>
      <c r="R37" s="505"/>
      <c r="S37" s="476"/>
    </row>
    <row r="38" spans="3:19" ht="6" customHeight="1">
      <c r="C38" s="479"/>
      <c r="D38" s="476"/>
      <c r="E38" s="496"/>
      <c r="F38" s="497"/>
      <c r="G38" s="498"/>
      <c r="H38" s="53"/>
      <c r="I38" s="54"/>
      <c r="J38" s="55"/>
      <c r="K38" s="55"/>
      <c r="L38" s="56"/>
      <c r="M38" s="56"/>
      <c r="N38" s="57"/>
      <c r="O38" s="57"/>
      <c r="P38" s="58"/>
      <c r="Q38" s="481"/>
      <c r="R38" s="505"/>
      <c r="S38" s="482"/>
    </row>
    <row r="39" spans="3:19" ht="18" customHeight="1" thickBot="1">
      <c r="C39" s="480"/>
      <c r="D39" s="477"/>
      <c r="E39" s="499"/>
      <c r="F39" s="500"/>
      <c r="G39" s="501"/>
      <c r="H39" s="59" t="s">
        <v>48</v>
      </c>
      <c r="I39" s="60" t="s">
        <v>49</v>
      </c>
      <c r="J39" s="61" t="s">
        <v>49</v>
      </c>
      <c r="K39" s="61" t="s">
        <v>49</v>
      </c>
      <c r="L39" s="61" t="s">
        <v>49</v>
      </c>
      <c r="M39" s="61" t="s">
        <v>49</v>
      </c>
      <c r="N39" s="61" t="s">
        <v>49</v>
      </c>
      <c r="O39" s="61" t="s">
        <v>49</v>
      </c>
      <c r="P39" s="62" t="s">
        <v>49</v>
      </c>
      <c r="Q39" s="63" t="s">
        <v>50</v>
      </c>
      <c r="R39" s="60" t="s">
        <v>51</v>
      </c>
      <c r="S39" s="64" t="s">
        <v>52</v>
      </c>
    </row>
    <row r="40" spans="3:19" ht="18" customHeight="1">
      <c r="C40" s="65"/>
      <c r="D40" s="449"/>
      <c r="E40" s="470"/>
      <c r="F40" s="471"/>
      <c r="G40" s="471"/>
      <c r="H40" s="66"/>
      <c r="I40" s="67"/>
      <c r="J40" s="68"/>
      <c r="K40" s="68"/>
      <c r="L40" s="68"/>
      <c r="M40" s="68"/>
      <c r="N40" s="68"/>
      <c r="O40" s="68"/>
      <c r="P40" s="69"/>
      <c r="Q40" s="70" t="str">
        <f t="shared" ref="Q40:Q49" si="0">IF(OR(SUM($H40:$P40)=0,$E40=""),"/",SUM($I40:$P40)+IF(VLOOKUP($E40,$E$125:$F$133,2,FALSE)="Oui",$H40,0))</f>
        <v>/</v>
      </c>
      <c r="R40" s="71" t="str">
        <f t="shared" ref="R40:R49" si="1">IF(OR(SUM($H40:$P40)=0,$E40=""),"/",SUMPRODUCT($I40:$P40,$I$53:$P$53)+IF(VLOOKUP($E40,$E$125:$F$133,2,FALSE)="Oui",$H40,0))</f>
        <v>/</v>
      </c>
      <c r="S40" s="72" t="str">
        <f t="shared" ref="S40:S49" si="2">IF(OR($Q40="/",$Q40=0),"/",$R40/$Q40)</f>
        <v>/</v>
      </c>
    </row>
    <row r="41" spans="3:19" ht="18" customHeight="1">
      <c r="C41" s="73"/>
      <c r="D41" s="449"/>
      <c r="E41" s="470"/>
      <c r="F41" s="471"/>
      <c r="G41" s="471"/>
      <c r="H41" s="66"/>
      <c r="I41" s="74"/>
      <c r="J41" s="75"/>
      <c r="K41" s="75"/>
      <c r="L41" s="75"/>
      <c r="M41" s="75"/>
      <c r="N41" s="75"/>
      <c r="O41" s="75"/>
      <c r="P41" s="76"/>
      <c r="Q41" s="77" t="str">
        <f t="shared" si="0"/>
        <v>/</v>
      </c>
      <c r="R41" s="78" t="str">
        <f t="shared" si="1"/>
        <v>/</v>
      </c>
      <c r="S41" s="79" t="str">
        <f t="shared" si="2"/>
        <v>/</v>
      </c>
    </row>
    <row r="42" spans="3:19" ht="18" customHeight="1">
      <c r="C42" s="73"/>
      <c r="D42" s="449"/>
      <c r="E42" s="470"/>
      <c r="F42" s="471"/>
      <c r="G42" s="471"/>
      <c r="H42" s="66"/>
      <c r="I42" s="74"/>
      <c r="J42" s="75"/>
      <c r="K42" s="75"/>
      <c r="L42" s="75"/>
      <c r="M42" s="75"/>
      <c r="N42" s="75"/>
      <c r="O42" s="75"/>
      <c r="P42" s="76"/>
      <c r="Q42" s="77" t="str">
        <f t="shared" si="0"/>
        <v>/</v>
      </c>
      <c r="R42" s="78" t="str">
        <f t="shared" si="1"/>
        <v>/</v>
      </c>
      <c r="S42" s="79" t="str">
        <f t="shared" si="2"/>
        <v>/</v>
      </c>
    </row>
    <row r="43" spans="3:19" ht="18" customHeight="1">
      <c r="C43" s="73"/>
      <c r="D43" s="449"/>
      <c r="E43" s="470"/>
      <c r="F43" s="471"/>
      <c r="G43" s="471"/>
      <c r="H43" s="66"/>
      <c r="I43" s="74"/>
      <c r="J43" s="75"/>
      <c r="K43" s="75"/>
      <c r="L43" s="75"/>
      <c r="M43" s="75"/>
      <c r="N43" s="75"/>
      <c r="O43" s="75"/>
      <c r="P43" s="76"/>
      <c r="Q43" s="77" t="str">
        <f t="shared" si="0"/>
        <v>/</v>
      </c>
      <c r="R43" s="78" t="str">
        <f t="shared" si="1"/>
        <v>/</v>
      </c>
      <c r="S43" s="79" t="str">
        <f t="shared" si="2"/>
        <v>/</v>
      </c>
    </row>
    <row r="44" spans="3:19" ht="18" customHeight="1">
      <c r="C44" s="73"/>
      <c r="D44" s="449"/>
      <c r="E44" s="470"/>
      <c r="F44" s="471"/>
      <c r="G44" s="471"/>
      <c r="H44" s="66"/>
      <c r="I44" s="74"/>
      <c r="J44" s="75"/>
      <c r="K44" s="75"/>
      <c r="L44" s="75"/>
      <c r="M44" s="75"/>
      <c r="N44" s="75"/>
      <c r="O44" s="75"/>
      <c r="P44" s="76"/>
      <c r="Q44" s="77" t="str">
        <f t="shared" si="0"/>
        <v>/</v>
      </c>
      <c r="R44" s="78" t="str">
        <f t="shared" si="1"/>
        <v>/</v>
      </c>
      <c r="S44" s="79" t="str">
        <f t="shared" si="2"/>
        <v>/</v>
      </c>
    </row>
    <row r="45" spans="3:19" ht="18" customHeight="1">
      <c r="C45" s="73"/>
      <c r="D45" s="449"/>
      <c r="E45" s="470"/>
      <c r="F45" s="471"/>
      <c r="G45" s="471"/>
      <c r="H45" s="66"/>
      <c r="I45" s="74"/>
      <c r="J45" s="75"/>
      <c r="K45" s="75"/>
      <c r="L45" s="75"/>
      <c r="M45" s="75"/>
      <c r="N45" s="75"/>
      <c r="O45" s="75"/>
      <c r="P45" s="76"/>
      <c r="Q45" s="77" t="str">
        <f t="shared" si="0"/>
        <v>/</v>
      </c>
      <c r="R45" s="78" t="str">
        <f t="shared" si="1"/>
        <v>/</v>
      </c>
      <c r="S45" s="79" t="str">
        <f t="shared" si="2"/>
        <v>/</v>
      </c>
    </row>
    <row r="46" spans="3:19" ht="18" customHeight="1">
      <c r="C46" s="73"/>
      <c r="D46" s="449"/>
      <c r="E46" s="470"/>
      <c r="F46" s="471"/>
      <c r="G46" s="471"/>
      <c r="H46" s="66"/>
      <c r="I46" s="74"/>
      <c r="J46" s="75"/>
      <c r="K46" s="75"/>
      <c r="L46" s="75"/>
      <c r="M46" s="75"/>
      <c r="N46" s="75"/>
      <c r="O46" s="75"/>
      <c r="P46" s="76"/>
      <c r="Q46" s="77" t="str">
        <f t="shared" si="0"/>
        <v>/</v>
      </c>
      <c r="R46" s="78" t="str">
        <f t="shared" si="1"/>
        <v>/</v>
      </c>
      <c r="S46" s="79" t="str">
        <f t="shared" si="2"/>
        <v>/</v>
      </c>
    </row>
    <row r="47" spans="3:19" ht="18" customHeight="1">
      <c r="C47" s="73"/>
      <c r="D47" s="449"/>
      <c r="E47" s="470"/>
      <c r="F47" s="471"/>
      <c r="G47" s="471"/>
      <c r="H47" s="66"/>
      <c r="I47" s="74"/>
      <c r="J47" s="75"/>
      <c r="K47" s="75"/>
      <c r="L47" s="75"/>
      <c r="M47" s="75"/>
      <c r="N47" s="75"/>
      <c r="O47" s="75"/>
      <c r="P47" s="76"/>
      <c r="Q47" s="77" t="str">
        <f t="shared" si="0"/>
        <v>/</v>
      </c>
      <c r="R47" s="78" t="str">
        <f t="shared" si="1"/>
        <v>/</v>
      </c>
      <c r="S47" s="79" t="str">
        <f t="shared" si="2"/>
        <v>/</v>
      </c>
    </row>
    <row r="48" spans="3:19" ht="18" customHeight="1">
      <c r="C48" s="80"/>
      <c r="D48" s="449"/>
      <c r="E48" s="470"/>
      <c r="F48" s="471"/>
      <c r="G48" s="471"/>
      <c r="H48" s="66"/>
      <c r="I48" s="74"/>
      <c r="J48" s="75"/>
      <c r="K48" s="75"/>
      <c r="L48" s="75"/>
      <c r="M48" s="75"/>
      <c r="N48" s="75"/>
      <c r="O48" s="75"/>
      <c r="P48" s="76"/>
      <c r="Q48" s="77" t="str">
        <f t="shared" si="0"/>
        <v>/</v>
      </c>
      <c r="R48" s="78" t="str">
        <f t="shared" si="1"/>
        <v>/</v>
      </c>
      <c r="S48" s="79" t="str">
        <f t="shared" si="2"/>
        <v>/</v>
      </c>
    </row>
    <row r="49" spans="2:20" ht="18" customHeight="1" thickBot="1">
      <c r="C49" s="81"/>
      <c r="D49" s="449"/>
      <c r="E49" s="470"/>
      <c r="F49" s="471"/>
      <c r="G49" s="471"/>
      <c r="H49" s="66"/>
      <c r="I49" s="82"/>
      <c r="J49" s="83"/>
      <c r="K49" s="83"/>
      <c r="L49" s="83"/>
      <c r="M49" s="83"/>
      <c r="N49" s="83"/>
      <c r="O49" s="83"/>
      <c r="P49" s="84"/>
      <c r="Q49" s="85" t="str">
        <f t="shared" si="0"/>
        <v>/</v>
      </c>
      <c r="R49" s="86" t="str">
        <f t="shared" si="1"/>
        <v>/</v>
      </c>
      <c r="S49" s="87" t="str">
        <f t="shared" si="2"/>
        <v>/</v>
      </c>
    </row>
    <row r="50" spans="2:20" ht="18" customHeight="1" thickBot="1">
      <c r="C50" s="88" t="s">
        <v>53</v>
      </c>
      <c r="D50" s="89"/>
      <c r="E50" s="89"/>
      <c r="F50" s="89"/>
      <c r="G50" s="89"/>
      <c r="H50" s="90">
        <f t="shared" ref="H50:P50" si="3">SUM(H40:H49)</f>
        <v>0</v>
      </c>
      <c r="I50" s="91">
        <f t="shared" si="3"/>
        <v>0</v>
      </c>
      <c r="J50" s="92">
        <f t="shared" si="3"/>
        <v>0</v>
      </c>
      <c r="K50" s="92">
        <f t="shared" si="3"/>
        <v>0</v>
      </c>
      <c r="L50" s="92">
        <f t="shared" si="3"/>
        <v>0</v>
      </c>
      <c r="M50" s="92">
        <f t="shared" si="3"/>
        <v>0</v>
      </c>
      <c r="N50" s="92">
        <f t="shared" si="3"/>
        <v>0</v>
      </c>
      <c r="O50" s="92">
        <f t="shared" si="3"/>
        <v>0</v>
      </c>
      <c r="P50" s="93">
        <f t="shared" si="3"/>
        <v>0</v>
      </c>
      <c r="Q50" s="94">
        <f>SUM($Q$40:$Q$49)</f>
        <v>0</v>
      </c>
      <c r="R50" s="95">
        <f>SUM($R$40:$R$49)</f>
        <v>0</v>
      </c>
      <c r="S50" s="96" t="str">
        <f>IF($Q$50=0,"/",$R$50/$Q$50)</f>
        <v>/</v>
      </c>
    </row>
    <row r="51" spans="2:20" ht="18" customHeight="1" thickBot="1"/>
    <row r="52" spans="2:20" ht="18" customHeight="1">
      <c r="I52" s="97" t="s">
        <v>54</v>
      </c>
      <c r="J52" s="98"/>
      <c r="K52" s="98"/>
      <c r="L52" s="98"/>
      <c r="M52" s="98"/>
      <c r="N52" s="98"/>
      <c r="O52" s="98"/>
      <c r="P52" s="99"/>
      <c r="R52" s="34"/>
      <c r="S52" s="34"/>
    </row>
    <row r="53" spans="2:20" ht="18" customHeight="1" thickBot="1">
      <c r="I53" s="100">
        <v>0</v>
      </c>
      <c r="J53" s="101">
        <v>0</v>
      </c>
      <c r="K53" s="101">
        <v>0.3</v>
      </c>
      <c r="L53" s="101">
        <v>0.6</v>
      </c>
      <c r="M53" s="101">
        <v>1</v>
      </c>
      <c r="N53" s="101">
        <v>0</v>
      </c>
      <c r="O53" s="101">
        <v>0.5</v>
      </c>
      <c r="P53" s="102">
        <v>1</v>
      </c>
      <c r="R53" s="34"/>
      <c r="S53" s="103"/>
      <c r="T53" s="104"/>
    </row>
    <row r="54" spans="2:20" ht="18" customHeight="1">
      <c r="T54" s="104"/>
    </row>
    <row r="55" spans="2:20" ht="18" customHeight="1">
      <c r="S55" s="104"/>
    </row>
    <row r="56" spans="2:20" ht="18" customHeight="1">
      <c r="S56" s="104"/>
    </row>
    <row r="57" spans="2:20" ht="18" customHeight="1">
      <c r="B57" s="105">
        <v>3</v>
      </c>
      <c r="C57" s="447" t="s">
        <v>55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7"/>
    </row>
    <row r="58" spans="2:20" ht="7.5" customHeight="1"/>
    <row r="59" spans="2:20" ht="18" customHeight="1">
      <c r="C59" s="469" t="s">
        <v>26</v>
      </c>
      <c r="D59" s="39" t="s">
        <v>56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2:20" ht="18" customHeight="1">
      <c r="C60" s="469"/>
      <c r="D60" s="39" t="s">
        <v>57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2:20" ht="27" customHeight="1" thickBot="1"/>
    <row r="62" spans="2:20" ht="18" customHeight="1" thickBot="1">
      <c r="D62" s="29" t="s">
        <v>58</v>
      </c>
      <c r="E62" s="106"/>
      <c r="F62" s="107"/>
      <c r="G62" s="108">
        <v>10</v>
      </c>
    </row>
    <row r="63" spans="2:20" ht="18" customHeight="1" thickBot="1">
      <c r="Q63" s="13"/>
    </row>
    <row r="64" spans="2:20" ht="18" customHeight="1">
      <c r="C64" s="472" t="s">
        <v>29</v>
      </c>
      <c r="D64" s="478" t="s">
        <v>59</v>
      </c>
      <c r="E64" s="475" t="s">
        <v>60</v>
      </c>
      <c r="F64" s="109" t="s">
        <v>61</v>
      </c>
      <c r="G64" s="109"/>
      <c r="H64" s="109"/>
      <c r="I64" s="110" t="s">
        <v>62</v>
      </c>
      <c r="J64" s="109"/>
      <c r="K64" s="109"/>
      <c r="L64" s="109"/>
      <c r="M64" s="109"/>
      <c r="N64" s="111"/>
      <c r="O64" s="112" t="s">
        <v>33</v>
      </c>
      <c r="P64" s="113"/>
      <c r="Q64" s="113"/>
      <c r="R64" s="114"/>
      <c r="S64" s="115"/>
    </row>
    <row r="65" spans="3:20" s="34" customFormat="1" ht="18" customHeight="1">
      <c r="C65" s="473"/>
      <c r="D65" s="479"/>
      <c r="E65" s="476"/>
      <c r="F65" s="504" t="s">
        <v>63</v>
      </c>
      <c r="G65" s="489" t="s">
        <v>35</v>
      </c>
      <c r="H65" s="506" t="s">
        <v>64</v>
      </c>
      <c r="I65" s="517" t="s">
        <v>65</v>
      </c>
      <c r="J65" s="518"/>
      <c r="K65" s="518"/>
      <c r="L65" s="504" t="s">
        <v>66</v>
      </c>
      <c r="M65" s="489" t="s">
        <v>67</v>
      </c>
      <c r="N65" s="593" t="s">
        <v>68</v>
      </c>
      <c r="O65" s="523" t="s">
        <v>69</v>
      </c>
      <c r="P65" s="505" t="s">
        <v>70</v>
      </c>
      <c r="Q65" s="490" t="s">
        <v>71</v>
      </c>
      <c r="R65" s="589" t="s">
        <v>72</v>
      </c>
      <c r="S65" s="577" t="s">
        <v>73</v>
      </c>
      <c r="T65" s="116"/>
    </row>
    <row r="66" spans="3:20" s="34" customFormat="1" ht="18" customHeight="1">
      <c r="C66" s="473"/>
      <c r="D66" s="479"/>
      <c r="E66" s="476"/>
      <c r="F66" s="505"/>
      <c r="G66" s="490"/>
      <c r="H66" s="507"/>
      <c r="I66" s="519"/>
      <c r="J66" s="520"/>
      <c r="K66" s="520"/>
      <c r="L66" s="505"/>
      <c r="M66" s="490"/>
      <c r="N66" s="593"/>
      <c r="O66" s="523"/>
      <c r="P66" s="505"/>
      <c r="Q66" s="490"/>
      <c r="R66" s="589"/>
      <c r="S66" s="577"/>
      <c r="T66" s="116"/>
    </row>
    <row r="67" spans="3:20" s="34" customFormat="1" ht="18" customHeight="1">
      <c r="C67" s="473"/>
      <c r="D67" s="479"/>
      <c r="E67" s="476"/>
      <c r="F67" s="505"/>
      <c r="G67" s="490"/>
      <c r="H67" s="507"/>
      <c r="I67" s="519"/>
      <c r="J67" s="520"/>
      <c r="K67" s="520"/>
      <c r="L67" s="505"/>
      <c r="M67" s="490"/>
      <c r="N67" s="593"/>
      <c r="O67" s="523"/>
      <c r="P67" s="505"/>
      <c r="Q67" s="490"/>
      <c r="R67" s="589"/>
      <c r="S67" s="577"/>
      <c r="T67" s="116"/>
    </row>
    <row r="68" spans="3:20" s="34" customFormat="1" ht="18" customHeight="1">
      <c r="C68" s="473"/>
      <c r="D68" s="479"/>
      <c r="E68" s="476"/>
      <c r="F68" s="505"/>
      <c r="G68" s="490"/>
      <c r="H68" s="507"/>
      <c r="I68" s="519"/>
      <c r="J68" s="520"/>
      <c r="K68" s="520"/>
      <c r="L68" s="505"/>
      <c r="M68" s="490"/>
      <c r="N68" s="593"/>
      <c r="O68" s="523"/>
      <c r="P68" s="505"/>
      <c r="Q68" s="490"/>
      <c r="R68" s="589"/>
      <c r="S68" s="577"/>
      <c r="T68" s="116"/>
    </row>
    <row r="69" spans="3:20" s="34" customFormat="1" ht="18" customHeight="1">
      <c r="C69" s="473"/>
      <c r="D69" s="479"/>
      <c r="E69" s="476"/>
      <c r="F69" s="505"/>
      <c r="G69" s="490"/>
      <c r="H69" s="507"/>
      <c r="I69" s="519"/>
      <c r="J69" s="520"/>
      <c r="K69" s="520"/>
      <c r="L69" s="505"/>
      <c r="M69" s="490"/>
      <c r="N69" s="593"/>
      <c r="O69" s="523"/>
      <c r="P69" s="505"/>
      <c r="Q69" s="490"/>
      <c r="R69" s="589"/>
      <c r="S69" s="577"/>
      <c r="T69" s="116"/>
    </row>
    <row r="70" spans="3:20" s="34" customFormat="1" ht="18" customHeight="1">
      <c r="C70" s="473"/>
      <c r="D70" s="481"/>
      <c r="E70" s="482"/>
      <c r="F70" s="505"/>
      <c r="G70" s="490"/>
      <c r="H70" s="507"/>
      <c r="I70" s="519"/>
      <c r="J70" s="520"/>
      <c r="K70" s="520"/>
      <c r="L70" s="505"/>
      <c r="M70" s="490"/>
      <c r="N70" s="593"/>
      <c r="O70" s="523"/>
      <c r="P70" s="505"/>
      <c r="Q70" s="490"/>
      <c r="R70" s="589"/>
      <c r="S70" s="577"/>
      <c r="T70" s="116"/>
    </row>
    <row r="71" spans="3:20" s="34" customFormat="1" ht="18" customHeight="1" thickBot="1">
      <c r="C71" s="474"/>
      <c r="D71" s="60" t="s">
        <v>74</v>
      </c>
      <c r="E71" s="363" t="s">
        <v>75</v>
      </c>
      <c r="F71" s="60" t="s">
        <v>76</v>
      </c>
      <c r="G71" s="61" t="s">
        <v>48</v>
      </c>
      <c r="H71" s="117" t="s">
        <v>77</v>
      </c>
      <c r="I71" s="521"/>
      <c r="J71" s="522"/>
      <c r="K71" s="522"/>
      <c r="L71" s="60" t="s">
        <v>78</v>
      </c>
      <c r="M71" s="61" t="s">
        <v>79</v>
      </c>
      <c r="N71" s="64" t="s">
        <v>80</v>
      </c>
      <c r="O71" s="63" t="s">
        <v>81</v>
      </c>
      <c r="P71" s="60" t="s">
        <v>82</v>
      </c>
      <c r="Q71" s="61" t="s">
        <v>83</v>
      </c>
      <c r="R71" s="590"/>
      <c r="S71" s="119" t="s">
        <v>83</v>
      </c>
      <c r="T71" s="116"/>
    </row>
    <row r="72" spans="3:20" s="34" customFormat="1" ht="18" customHeight="1">
      <c r="C72" s="120" t="str">
        <f t="shared" ref="C72:C81" si="4">IF($C40="","",$C40)</f>
        <v/>
      </c>
      <c r="D72" s="121" t="str">
        <f>IF($R40="/","/",$Q40*$G$62/1000)</f>
        <v>/</v>
      </c>
      <c r="E72" s="123" t="str">
        <f t="shared" ref="E72:E81" si="5">IF($Q40="/","/",($I40*(1-$I$53)+$J40*(1-$J$53)+$K40*(1-$K$53)+$L40*(1-$L$53)+$N40*(1-$N$53)+$O40*(1-$O$53))*$G$62/1000)</f>
        <v>/</v>
      </c>
      <c r="F72" s="121" t="str">
        <f t="shared" ref="F72:F81" si="6">IF($R40="/","/",IF($E40=$E$132,"À justifier**",$R40*$G$62/1000))</f>
        <v>/</v>
      </c>
      <c r="G72" s="122" t="str">
        <f t="shared" ref="G72:G81" si="7">IF(OR($D140="C",$D140="D"),"/",IF($R40="/","/",IF($H40=0,"?",$H40)))</f>
        <v>/</v>
      </c>
      <c r="H72" s="123" t="str">
        <f>IF(OR($D140="C",$D140="D"),"/",IF(OR($H40=0,$Q40="/"),"?",($F72/$G72)*100))</f>
        <v>/</v>
      </c>
      <c r="I72" s="124" t="str">
        <f t="shared" ref="I72:I81" si="8">IF(NOT($E40=""),VLOOKUP($E40,$E$125:$G$133,3,FALSE),"")</f>
        <v/>
      </c>
      <c r="J72" s="125"/>
      <c r="K72" s="450" t="str">
        <f t="shared" ref="K72:K81" si="9">IF($E140=TRUE,"⚠️","")</f>
        <v/>
      </c>
      <c r="L72" s="126"/>
      <c r="M72" s="127"/>
      <c r="N72" s="123" t="str">
        <f>IF($Q40="/","/",IF($D140="C","À justifier**",IF($D140="D","/",IF($H40=0,"?",IF($D140="A",IF($E40=$E$125,$G72*48/1000,IF($M72="","?",$G72*HLOOKUP($M72,$H$91:$N$92,2,FALSE)/1000)),IF($D140="B",IF($L72="",$G72*$N$131*3600*24,$G72*$L72*3600*24)))))))</f>
        <v>/</v>
      </c>
      <c r="O72" s="128" t="str">
        <f>IF(OR($N72="?",$Q40=0),"?",IF($D140="C","À justifier**",IF(OR($N72="/",$Q40="/"),"/",MIN($F72,$N72))))</f>
        <v>/</v>
      </c>
      <c r="P72" s="121" t="str">
        <f>IF(OR($O72="/",$O72="À justifier**"),"/",IF($O72="?","?",24*$O72/$N72))</f>
        <v>/</v>
      </c>
      <c r="Q72" s="129" t="str">
        <f>IF($O72="/",$E72,IF($O72="?","?",IF($O72="À justifier**",$E72,$O72+$E72)))</f>
        <v>/</v>
      </c>
      <c r="R72" s="130" t="str">
        <f>IF($R40="/","/",IF($O72="À justifier**","À justifier**",IF(OR($N72="?",$D72=0),"?",$Q72/$D72)))</f>
        <v>/</v>
      </c>
      <c r="S72" s="131" t="str">
        <f>IF($Q40="/","/",IF($R72="À justifier**","/",$P140))</f>
        <v>/</v>
      </c>
      <c r="T72" s="116"/>
    </row>
    <row r="73" spans="3:20" s="34" customFormat="1" ht="18" customHeight="1">
      <c r="C73" s="132" t="str">
        <f t="shared" si="4"/>
        <v/>
      </c>
      <c r="D73" s="133" t="str">
        <f t="shared" ref="D73:D81" si="10">IF($R41="/","/",$Q41*$G$62/1000)</f>
        <v>/</v>
      </c>
      <c r="E73" s="134" t="str">
        <f t="shared" si="5"/>
        <v>/</v>
      </c>
      <c r="F73" s="133" t="str">
        <f t="shared" si="6"/>
        <v>/</v>
      </c>
      <c r="G73" s="122" t="str">
        <f t="shared" si="7"/>
        <v>/</v>
      </c>
      <c r="H73" s="134" t="str">
        <f>IF(OR($D141="C",$D141="D"),"/",IF(OR($H41=0,$Q41="/"),"?",($F73/$G73)*100))</f>
        <v>/</v>
      </c>
      <c r="I73" s="135" t="str">
        <f t="shared" si="8"/>
        <v/>
      </c>
      <c r="J73" s="136"/>
      <c r="K73" s="450" t="str">
        <f t="shared" si="9"/>
        <v/>
      </c>
      <c r="L73" s="126"/>
      <c r="M73" s="137"/>
      <c r="N73" s="123" t="str">
        <f>IF($Q41="/","/",IF($D141="C","À justifier**",IF($D141="D","/",IF($H41=0,"?",IF($D141="A",IF($E41=$E$125,$G73*48/1000,IF($M73="","?",$G73*HLOOKUP($M73,$H$91:$N$92,2,FALSE)/1000)),IF($D141="B",IF($L73="",$G73*$N$131*3600*24,$G73*$L73*3600*24)))))))</f>
        <v>/</v>
      </c>
      <c r="O73" s="128" t="str">
        <f>IF(OR($N73="?",$Q41=0),"?",IF($D141="C","À justifier**",IF(OR($N73="/",$Q41="/"),"/",MIN($F73,$N73))))</f>
        <v>/</v>
      </c>
      <c r="P73" s="121" t="str">
        <f>IF(OR($O73="/",$O73="À justifier**"),"/",IF($O73="?","?",24*$O73/$N73))</f>
        <v>/</v>
      </c>
      <c r="Q73" s="129" t="str">
        <f>IF($O73="/",$E73,IF($O73="?","?",IF($O73="À justifier**",$E73,$O73+$E73)))</f>
        <v>/</v>
      </c>
      <c r="R73" s="138" t="str">
        <f t="shared" ref="R73:R81" si="11">IF($R41="/","/",IF($O73="À justifier**","À justifier**",IF(OR($N73="?",$D73=0),"?",$Q73/$D73)))</f>
        <v>/</v>
      </c>
      <c r="S73" s="131" t="str">
        <f>IF($Q41="/","/",IF($R73="À justifier**","/",$P141))</f>
        <v>/</v>
      </c>
      <c r="T73" s="116"/>
    </row>
    <row r="74" spans="3:20" s="34" customFormat="1" ht="18" customHeight="1">
      <c r="C74" s="132" t="str">
        <f t="shared" si="4"/>
        <v/>
      </c>
      <c r="D74" s="133" t="str">
        <f t="shared" si="10"/>
        <v>/</v>
      </c>
      <c r="E74" s="134" t="str">
        <f t="shared" si="5"/>
        <v>/</v>
      </c>
      <c r="F74" s="133" t="str">
        <f t="shared" si="6"/>
        <v>/</v>
      </c>
      <c r="G74" s="122" t="str">
        <f t="shared" si="7"/>
        <v>/</v>
      </c>
      <c r="H74" s="134" t="str">
        <f>IF(OR($D142="C",$D142="D"),"/",IF(OR($H42=0,$Q42="/"),"?",($F74/$G74)*100))</f>
        <v>/</v>
      </c>
      <c r="I74" s="135" t="str">
        <f t="shared" si="8"/>
        <v/>
      </c>
      <c r="J74" s="136"/>
      <c r="K74" s="450" t="str">
        <f t="shared" si="9"/>
        <v/>
      </c>
      <c r="L74" s="126"/>
      <c r="M74" s="137"/>
      <c r="N74" s="123" t="str">
        <f>IF($Q42="/","/",IF($D142="C","À justifier**",IF($D142="D","/",IF($H42=0,"?",IF($D142="A",IF($E42=$E$125,$G74*48/1000,IF($M74="","?",$G74*HLOOKUP($M74,$H$91:$N$92,2,FALSE)/1000)),IF($D142="B",IF($L74="",$G74*$N$131*3600*24,$G74*$L74*3600*24)))))))</f>
        <v>/</v>
      </c>
      <c r="O74" s="128" t="str">
        <f>IF(OR($N74="?",$Q42=0),"?",IF($D142="C","À justifier**",IF(OR($N74="/",$Q42="/"),"/",MIN($F74,$N74))))</f>
        <v>/</v>
      </c>
      <c r="P74" s="121" t="str">
        <f>IF(OR($O74="/",$O74="À justifier**"),"/",IF($O74="?","?",24*$O74/$N74))</f>
        <v>/</v>
      </c>
      <c r="Q74" s="129" t="str">
        <f>IF($O74="/",$E74,IF($O74="?","?",IF($O74="À justifier**",$E74,$O74+$E74)))</f>
        <v>/</v>
      </c>
      <c r="R74" s="138" t="str">
        <f t="shared" si="11"/>
        <v>/</v>
      </c>
      <c r="S74" s="131" t="str">
        <f>IF($Q42="/","/",IF($R74="À justifier**","/",$P142))</f>
        <v>/</v>
      </c>
      <c r="T74" s="116"/>
    </row>
    <row r="75" spans="3:20" s="34" customFormat="1" ht="18" customHeight="1">
      <c r="C75" s="132" t="str">
        <f t="shared" si="4"/>
        <v/>
      </c>
      <c r="D75" s="133" t="str">
        <f t="shared" si="10"/>
        <v>/</v>
      </c>
      <c r="E75" s="134" t="str">
        <f t="shared" si="5"/>
        <v>/</v>
      </c>
      <c r="F75" s="133" t="str">
        <f t="shared" si="6"/>
        <v>/</v>
      </c>
      <c r="G75" s="122" t="str">
        <f t="shared" si="7"/>
        <v>/</v>
      </c>
      <c r="H75" s="134" t="str">
        <f>IF(OR($D143="C",$D143="D"),"/",IF(OR($H43=0,$Q43="/"),"?",($F75/$G75)*100))</f>
        <v>/</v>
      </c>
      <c r="I75" s="135" t="str">
        <f t="shared" si="8"/>
        <v/>
      </c>
      <c r="J75" s="136"/>
      <c r="K75" s="450" t="str">
        <f t="shared" si="9"/>
        <v/>
      </c>
      <c r="L75" s="126"/>
      <c r="M75" s="137"/>
      <c r="N75" s="123" t="str">
        <f>IF($Q43="/","/",IF($D143="C","À justifier**",IF($D143="D","/",IF($H43=0,"?",IF($D143="A",IF($E43=$E$125,$G75*48/1000,IF($M75="","?",$G75*HLOOKUP($M75,$H$91:$N$92,2,FALSE)/1000)),IF($D143="B",IF($L75="",$G75*$N$131*3600*24,$G75*$L75*3600*24)))))))</f>
        <v>/</v>
      </c>
      <c r="O75" s="128" t="str">
        <f>IF(OR($N75="?",$Q43=0),"?",IF($D143="C","À justifier**",IF(OR($N75="/",$Q43="/"),"/",MIN($F75,$N75))))</f>
        <v>/</v>
      </c>
      <c r="P75" s="121" t="str">
        <f>IF(OR($O75="/",$O75="À justifier**"),"/",IF($O75="?","?",24*$O75/$N75))</f>
        <v>/</v>
      </c>
      <c r="Q75" s="129" t="str">
        <f>IF($O75="/",$E75,IF($O75="?","?",IF($O75="À justifier**",$E75,$O75+$E75)))</f>
        <v>/</v>
      </c>
      <c r="R75" s="138" t="str">
        <f t="shared" si="11"/>
        <v>/</v>
      </c>
      <c r="S75" s="131" t="str">
        <f>IF($Q43="/","/",IF($R75="À justifier**","/",$P143))</f>
        <v>/</v>
      </c>
      <c r="T75" s="116"/>
    </row>
    <row r="76" spans="3:20" s="34" customFormat="1" ht="18" customHeight="1">
      <c r="C76" s="132" t="str">
        <f t="shared" si="4"/>
        <v/>
      </c>
      <c r="D76" s="133" t="str">
        <f t="shared" si="10"/>
        <v>/</v>
      </c>
      <c r="E76" s="134" t="str">
        <f t="shared" si="5"/>
        <v>/</v>
      </c>
      <c r="F76" s="133" t="str">
        <f t="shared" si="6"/>
        <v>/</v>
      </c>
      <c r="G76" s="122" t="str">
        <f t="shared" si="7"/>
        <v>/</v>
      </c>
      <c r="H76" s="134" t="str">
        <f>IF(OR($D144="C",$D144="D"),"/",IF(OR($H44=0,$Q44="/"),"?",($F76/$G76)*100))</f>
        <v>/</v>
      </c>
      <c r="I76" s="135" t="str">
        <f t="shared" si="8"/>
        <v/>
      </c>
      <c r="J76" s="136"/>
      <c r="K76" s="450" t="str">
        <f t="shared" si="9"/>
        <v/>
      </c>
      <c r="L76" s="126"/>
      <c r="M76" s="137"/>
      <c r="N76" s="123" t="str">
        <f>IF($Q44="/","/",IF($D144="C","À justifier**",IF($D144="D","/",IF($H44=0,"?",IF($D144="A",IF($E44=$E$125,$G76*48/1000,IF($M76="","?",$G76*HLOOKUP($M76,$H$91:$N$92,2,FALSE)/1000)),IF($D144="B",IF($L76="",$G76*$N$131*3600*24,$G76*$L76*3600*24)))))))</f>
        <v>/</v>
      </c>
      <c r="O76" s="128" t="str">
        <f>IF(OR($N76="?",$Q44=0),"?",IF($D144="C","À justifier**",IF(OR($N76="/",$Q44="/"),"/",MIN($F76,$N76))))</f>
        <v>/</v>
      </c>
      <c r="P76" s="121" t="str">
        <f>IF(OR($O76="/",$O76="À justifier**"),"/",IF($O76="?","?",24*$O76/$N76))</f>
        <v>/</v>
      </c>
      <c r="Q76" s="129" t="str">
        <f>IF($O76="/",$E76,IF($O76="?","?",IF($O76="À justifier**",$E76,$O76+$E76)))</f>
        <v>/</v>
      </c>
      <c r="R76" s="138" t="str">
        <f t="shared" si="11"/>
        <v>/</v>
      </c>
      <c r="S76" s="131" t="str">
        <f>IF($Q44="/","/",IF($R76="À justifier**","/",$P144))</f>
        <v>/</v>
      </c>
      <c r="T76" s="116"/>
    </row>
    <row r="77" spans="3:20" s="34" customFormat="1" ht="18" customHeight="1">
      <c r="C77" s="132" t="str">
        <f t="shared" si="4"/>
        <v/>
      </c>
      <c r="D77" s="133" t="str">
        <f t="shared" si="10"/>
        <v>/</v>
      </c>
      <c r="E77" s="134" t="str">
        <f t="shared" si="5"/>
        <v>/</v>
      </c>
      <c r="F77" s="133" t="str">
        <f t="shared" si="6"/>
        <v>/</v>
      </c>
      <c r="G77" s="122" t="str">
        <f t="shared" si="7"/>
        <v>/</v>
      </c>
      <c r="H77" s="134" t="str">
        <f>IF(OR($D145="C",$D145="D"),"/",IF(OR($H45=0,$Q45="/"),"?",($F77/$G77)*100))</f>
        <v>/</v>
      </c>
      <c r="I77" s="135" t="str">
        <f t="shared" si="8"/>
        <v/>
      </c>
      <c r="J77" s="136"/>
      <c r="K77" s="450" t="str">
        <f t="shared" si="9"/>
        <v/>
      </c>
      <c r="L77" s="126"/>
      <c r="M77" s="137"/>
      <c r="N77" s="123" t="str">
        <f>IF($Q45="/","/",IF($D145="C","À justifier**",IF($D145="D","/",IF($H45=0,"?",IF($D145="A",IF($E45=$E$125,$G77*48/1000,IF($M77="","?",$G77*HLOOKUP($M77,$H$91:$N$92,2,FALSE)/1000)),IF($D145="B",IF($L77="",$G77*$N$131*3600*24,$G77*$L77*3600*24)))))))</f>
        <v>/</v>
      </c>
      <c r="O77" s="128" t="str">
        <f>IF(OR($N77="?",$Q45=0),"?",IF($D145="C","À justifier**",IF(OR($N77="/",$Q45="/"),"/",MIN($F77,$N77))))</f>
        <v>/</v>
      </c>
      <c r="P77" s="121" t="str">
        <f>IF(OR($O77="/",$O77="À justifier**"),"/",IF($O77="?","?",24*$O77/$N77))</f>
        <v>/</v>
      </c>
      <c r="Q77" s="129" t="str">
        <f>IF($O77="/",$E77,IF($O77="?","?",IF($O77="À justifier**",$E77,$O77+$E77)))</f>
        <v>/</v>
      </c>
      <c r="R77" s="138" t="str">
        <f t="shared" si="11"/>
        <v>/</v>
      </c>
      <c r="S77" s="131" t="str">
        <f>IF($Q45="/","/",IF($R77="À justifier**","/",$P145))</f>
        <v>/</v>
      </c>
      <c r="T77" s="116"/>
    </row>
    <row r="78" spans="3:20" s="34" customFormat="1" ht="18" customHeight="1">
      <c r="C78" s="132" t="str">
        <f t="shared" si="4"/>
        <v/>
      </c>
      <c r="D78" s="133" t="str">
        <f t="shared" si="10"/>
        <v>/</v>
      </c>
      <c r="E78" s="134" t="str">
        <f t="shared" si="5"/>
        <v>/</v>
      </c>
      <c r="F78" s="133" t="str">
        <f t="shared" si="6"/>
        <v>/</v>
      </c>
      <c r="G78" s="122" t="str">
        <f t="shared" si="7"/>
        <v>/</v>
      </c>
      <c r="H78" s="134" t="str">
        <f>IF(OR($D146="C",$D146="D"),"/",IF(OR($H46=0,$Q46="/"),"?",($F78/$G78)*100))</f>
        <v>/</v>
      </c>
      <c r="I78" s="135" t="str">
        <f t="shared" si="8"/>
        <v/>
      </c>
      <c r="J78" s="136"/>
      <c r="K78" s="450" t="str">
        <f t="shared" si="9"/>
        <v/>
      </c>
      <c r="L78" s="126"/>
      <c r="M78" s="137"/>
      <c r="N78" s="123" t="str">
        <f>IF($Q46="/","/",IF($D146="C","À justifier**",IF($D146="D","/",IF($H46=0,"?",IF($D146="A",IF($E46=$E$125,$G78*48/1000,IF($M78="","?",$G78*HLOOKUP($M78,$H$91:$N$92,2,FALSE)/1000)),IF($D146="B",IF($L78="",$G78*$N$131*3600*24,$G78*$L78*3600*24)))))))</f>
        <v>/</v>
      </c>
      <c r="O78" s="128" t="str">
        <f>IF(OR($N78="?",$Q46=0),"?",IF($D146="C","À justifier**",IF(OR($N78="/",$Q46="/"),"/",MIN($F78,$N78))))</f>
        <v>/</v>
      </c>
      <c r="P78" s="121" t="str">
        <f>IF(OR($O78="/",$O78="À justifier**"),"/",IF($O78="?","?",24*$O78/$N78))</f>
        <v>/</v>
      </c>
      <c r="Q78" s="129" t="str">
        <f>IF($O78="/",$E78,IF($O78="?","?",IF($O78="À justifier**",$E78,$O78+$E78)))</f>
        <v>/</v>
      </c>
      <c r="R78" s="138" t="str">
        <f t="shared" si="11"/>
        <v>/</v>
      </c>
      <c r="S78" s="131" t="str">
        <f>IF($Q46="/","/",IF($R78="À justifier**","/",$P146))</f>
        <v>/</v>
      </c>
      <c r="T78" s="116"/>
    </row>
    <row r="79" spans="3:20" s="34" customFormat="1" ht="18" customHeight="1">
      <c r="C79" s="132" t="str">
        <f t="shared" si="4"/>
        <v/>
      </c>
      <c r="D79" s="133" t="str">
        <f t="shared" si="10"/>
        <v>/</v>
      </c>
      <c r="E79" s="134" t="str">
        <f t="shared" si="5"/>
        <v>/</v>
      </c>
      <c r="F79" s="133" t="str">
        <f t="shared" si="6"/>
        <v>/</v>
      </c>
      <c r="G79" s="122" t="str">
        <f t="shared" si="7"/>
        <v>/</v>
      </c>
      <c r="H79" s="134" t="str">
        <f>IF(OR($D147="C",$D147="D"),"/",IF(OR($H47=0,$Q47="/"),"?",($F79/$G79)*100))</f>
        <v>/</v>
      </c>
      <c r="I79" s="139" t="str">
        <f t="shared" si="8"/>
        <v/>
      </c>
      <c r="J79" s="140"/>
      <c r="K79" s="450" t="str">
        <f t="shared" si="9"/>
        <v/>
      </c>
      <c r="L79" s="126"/>
      <c r="M79" s="137"/>
      <c r="N79" s="123" t="str">
        <f>IF($Q47="/","/",IF($D147="C","À justifier**",IF($D147="D","/",IF($H47=0,"?",IF($D147="A",IF($E47=$E$125,$G79*48/1000,IF($M79="","?",$G79*HLOOKUP($M79,$H$91:$N$92,2,FALSE)/1000)),IF($D147="B",IF($L79="",$G79*$N$131*3600*24,$G79*$L79*3600*24)))))))</f>
        <v>/</v>
      </c>
      <c r="O79" s="128" t="str">
        <f>IF(OR($N79="?",$Q47=0),"?",IF($D147="C","À justifier**",IF(OR($N79="/",$Q47="/"),"/",MIN($F79,$N79))))</f>
        <v>/</v>
      </c>
      <c r="P79" s="121" t="str">
        <f>IF(OR($O79="/",$O79="À justifier**"),"/",IF($O79="?","?",24*$O79/$N79))</f>
        <v>/</v>
      </c>
      <c r="Q79" s="129" t="str">
        <f>IF($O79="/",$E79,IF($O79="?","?",IF($O79="À justifier**",$E79,$O79+$E79)))</f>
        <v>/</v>
      </c>
      <c r="R79" s="138" t="str">
        <f t="shared" si="11"/>
        <v>/</v>
      </c>
      <c r="S79" s="131" t="str">
        <f>IF($Q47="/","/",IF($R79="À justifier**","/",$P147))</f>
        <v>/</v>
      </c>
      <c r="T79" s="116"/>
    </row>
    <row r="80" spans="3:20" s="34" customFormat="1" ht="18" customHeight="1">
      <c r="C80" s="132" t="str">
        <f t="shared" si="4"/>
        <v/>
      </c>
      <c r="D80" s="133" t="str">
        <f t="shared" si="10"/>
        <v>/</v>
      </c>
      <c r="E80" s="134" t="str">
        <f t="shared" si="5"/>
        <v>/</v>
      </c>
      <c r="F80" s="133" t="str">
        <f t="shared" si="6"/>
        <v>/</v>
      </c>
      <c r="G80" s="122" t="str">
        <f t="shared" si="7"/>
        <v>/</v>
      </c>
      <c r="H80" s="134" t="str">
        <f>IF(OR($D148="C",$D148="D"),"/",IF(OR($H48=0,$Q48="/"),"?",($F80/$G80)*100))</f>
        <v>/</v>
      </c>
      <c r="I80" s="139" t="str">
        <f t="shared" si="8"/>
        <v/>
      </c>
      <c r="J80" s="141"/>
      <c r="K80" s="450" t="str">
        <f t="shared" si="9"/>
        <v/>
      </c>
      <c r="L80" s="126"/>
      <c r="M80" s="137"/>
      <c r="N80" s="123" t="str">
        <f>IF($Q48="/","/",IF($D148="C","À justifier**",IF($D148="D","/",IF($H48=0,"?",IF($D148="A",IF($E48=$E$125,$G80*48/1000,IF($M80="","?",$G80*HLOOKUP($M80,$H$91:$N$92,2,FALSE)/1000)),IF($D148="B",IF($L80="",$G80*$N$131*3600*24,$G80*$L80*3600*24)))))))</f>
        <v>/</v>
      </c>
      <c r="O80" s="128" t="str">
        <f>IF(OR($N80="?",$Q48=0),"?",IF($D148="C","À justifier**",IF(OR($N80="/",$Q48="/"),"/",MIN($F80,$N80))))</f>
        <v>/</v>
      </c>
      <c r="P80" s="121" t="str">
        <f>IF(OR($O80="/",$O80="À justifier**"),"/",IF($O80="?","?",24*$O80/$N80))</f>
        <v>/</v>
      </c>
      <c r="Q80" s="129" t="str">
        <f>IF($O80="/",$E80,IF($O80="?","?",IF($O80="À justifier**",$E80,$O80+$E80)))</f>
        <v>/</v>
      </c>
      <c r="R80" s="138" t="str">
        <f t="shared" si="11"/>
        <v>/</v>
      </c>
      <c r="S80" s="131" t="str">
        <f>IF($Q48="/","/",IF($R80="À justifier**","/",$P148))</f>
        <v>/</v>
      </c>
      <c r="T80" s="116"/>
    </row>
    <row r="81" spans="2:20" s="34" customFormat="1" ht="18" customHeight="1" thickBot="1">
      <c r="C81" s="142" t="str">
        <f t="shared" si="4"/>
        <v/>
      </c>
      <c r="D81" s="133" t="str">
        <f t="shared" si="10"/>
        <v>/</v>
      </c>
      <c r="E81" s="134" t="str">
        <f t="shared" si="5"/>
        <v>/</v>
      </c>
      <c r="F81" s="133" t="str">
        <f t="shared" si="6"/>
        <v>/</v>
      </c>
      <c r="G81" s="122" t="str">
        <f t="shared" si="7"/>
        <v>/</v>
      </c>
      <c r="H81" s="134" t="str">
        <f>IF(OR($D149="C",$D149="D"),"/",IF(OR($H49=0,$Q49="/"),"?",($F81/$G81)*100))</f>
        <v>/</v>
      </c>
      <c r="I81" s="139" t="str">
        <f t="shared" si="8"/>
        <v/>
      </c>
      <c r="J81" s="141"/>
      <c r="K81" s="450" t="str">
        <f t="shared" si="9"/>
        <v/>
      </c>
      <c r="L81" s="126"/>
      <c r="M81" s="137"/>
      <c r="N81" s="123" t="str">
        <f>IF($Q49="/","/",IF($D149="C","À justifier**",IF($D149="D","/",IF($H49=0,"?",IF($D149="A",IF($E49=$E$125,$G81*48/1000,IF($M81="","?",$G81*HLOOKUP($M81,$H$91:$N$92,2,FALSE)/1000)),IF($D149="B",IF($L81="",$G81*$N$131*3600*24,$G81*$L81*3600*24)))))))</f>
        <v>/</v>
      </c>
      <c r="O81" s="128" t="str">
        <f>IF(OR($N81="?",$Q49=0),"?",IF($D149="C","À justifier**",IF(OR($N81="/",$Q49="/"),"/",MIN($F81,$N81))))</f>
        <v>/</v>
      </c>
      <c r="P81" s="121" t="str">
        <f>IF(OR($O81="/",$O81="À justifier**"),"/",IF($O81="?","?",24*$O81/$N81))</f>
        <v>/</v>
      </c>
      <c r="Q81" s="143" t="str">
        <f>IF($O81="/",$E81,IF($O81="?","?",IF($O81="À justifier**",$E81,$O81+$E81)))</f>
        <v>/</v>
      </c>
      <c r="R81" s="144" t="str">
        <f t="shared" si="11"/>
        <v>/</v>
      </c>
      <c r="S81" s="131" t="str">
        <f>IF($Q49="/","/",IF($R81="À justifier**","/",$P149))</f>
        <v>/</v>
      </c>
      <c r="T81" s="116"/>
    </row>
    <row r="82" spans="2:20" s="34" customFormat="1" ht="18" customHeight="1" thickBot="1">
      <c r="C82" s="145" t="s">
        <v>53</v>
      </c>
      <c r="D82" s="146">
        <f>SUM(D72:D81)</f>
        <v>0</v>
      </c>
      <c r="E82" s="153">
        <f>SUM(E72:E81)</f>
        <v>0</v>
      </c>
      <c r="F82" s="146">
        <f>SUM(F72:F81)</f>
        <v>0</v>
      </c>
      <c r="G82" s="147">
        <f>SUM(G72:G81)</f>
        <v>0</v>
      </c>
      <c r="H82" s="148" t="s">
        <v>84</v>
      </c>
      <c r="I82" s="149"/>
      <c r="J82" s="150"/>
      <c r="K82" s="151"/>
      <c r="L82" s="152" t="s">
        <v>84</v>
      </c>
      <c r="M82" s="148" t="s">
        <v>84</v>
      </c>
      <c r="N82" s="153">
        <f>SUM(N72:N81)</f>
        <v>0</v>
      </c>
      <c r="O82" s="154">
        <f>SUM(O72:O81)</f>
        <v>0</v>
      </c>
      <c r="P82" s="148" t="s">
        <v>84</v>
      </c>
      <c r="Q82" s="155">
        <f>SUM(Q72:Q81)</f>
        <v>0</v>
      </c>
      <c r="R82" s="156" t="s">
        <v>84</v>
      </c>
      <c r="S82" s="157">
        <f>SUM(S72:S81)</f>
        <v>0</v>
      </c>
    </row>
    <row r="84" spans="2:20" ht="18" customHeight="1">
      <c r="C84" s="469" t="s">
        <v>26</v>
      </c>
      <c r="D84" s="158" t="s">
        <v>85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42"/>
    </row>
    <row r="85" spans="2:20" ht="18" customHeight="1">
      <c r="C85" s="469"/>
      <c r="D85" s="158" t="s">
        <v>86</v>
      </c>
      <c r="E85" s="159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2:20" ht="7.5" customHeight="1">
      <c r="C86" s="160"/>
      <c r="D86" s="161"/>
      <c r="E86" s="162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</row>
    <row r="87" spans="2:20" ht="18" customHeight="1">
      <c r="C87" s="570" t="str">
        <f>IF(E150=TRUE,"⚠️","")</f>
        <v/>
      </c>
      <c r="D87" s="457" t="str">
        <f>IF(E150=TRUE,"Attention, une valeur de perméabilité par défaut (2.10⁻⁷ m/s) est utilisée et doit être ajustée. Un essai d'infiltration est nécessaire pour pouvoir renseigner une valeur de perméabilité plus élevée.","")</f>
        <v/>
      </c>
      <c r="E87" s="456"/>
      <c r="F87" s="456"/>
      <c r="G87" s="456"/>
      <c r="H87" s="456"/>
      <c r="I87" s="456"/>
      <c r="J87" s="456"/>
      <c r="K87" s="456"/>
      <c r="L87" s="456"/>
      <c r="M87" s="456"/>
      <c r="N87" s="456"/>
      <c r="O87" s="456"/>
      <c r="P87" s="456"/>
      <c r="Q87" s="456"/>
      <c r="R87" s="456"/>
      <c r="S87" s="456"/>
    </row>
    <row r="88" spans="2:20" ht="18" customHeight="1">
      <c r="C88" s="570"/>
      <c r="D88" s="457" t="str">
        <f>IF(E150=TRUE,"De plus, dans les zones argileuses, il est probable que la perméabilité réelle soit plus faible que la perméabilité utilisée par défaut.","")</f>
        <v/>
      </c>
      <c r="E88" s="456"/>
      <c r="F88" s="456"/>
      <c r="G88" s="456"/>
      <c r="H88" s="456"/>
      <c r="I88" s="456"/>
      <c r="J88" s="456"/>
      <c r="K88" s="456"/>
      <c r="L88" s="456"/>
      <c r="M88" s="456"/>
      <c r="N88" s="456"/>
      <c r="O88" s="456"/>
      <c r="P88" s="456"/>
      <c r="Q88" s="456"/>
      <c r="R88" s="456"/>
      <c r="S88" s="456"/>
    </row>
    <row r="89" spans="2:20" ht="18" customHeight="1" thickBot="1"/>
    <row r="90" spans="2:20" ht="18" customHeight="1">
      <c r="D90" s="163" t="s">
        <v>87</v>
      </c>
      <c r="E90" s="164"/>
      <c r="F90" s="164"/>
      <c r="G90" s="164"/>
      <c r="H90" s="165"/>
      <c r="I90" s="164"/>
      <c r="J90" s="164"/>
      <c r="K90" s="164"/>
      <c r="L90" s="164"/>
      <c r="M90" s="164"/>
      <c r="N90" s="166"/>
    </row>
    <row r="91" spans="2:20" ht="18" customHeight="1">
      <c r="C91" s="32"/>
      <c r="D91" s="167" t="s">
        <v>88</v>
      </c>
      <c r="E91" s="168"/>
      <c r="F91" s="168"/>
      <c r="G91" s="169"/>
      <c r="H91" s="170" t="s">
        <v>89</v>
      </c>
      <c r="I91" s="170" t="s">
        <v>90</v>
      </c>
      <c r="J91" s="170" t="s">
        <v>91</v>
      </c>
      <c r="K91" s="170" t="s">
        <v>92</v>
      </c>
      <c r="L91" s="170" t="s">
        <v>93</v>
      </c>
      <c r="M91" s="170" t="s">
        <v>94</v>
      </c>
      <c r="N91" s="171" t="s">
        <v>95</v>
      </c>
    </row>
    <row r="92" spans="2:20" ht="18" customHeight="1" thickBot="1">
      <c r="D92" s="172" t="s">
        <v>96</v>
      </c>
      <c r="E92" s="173"/>
      <c r="F92" s="173"/>
      <c r="G92" s="174"/>
      <c r="H92" s="175">
        <v>4</v>
      </c>
      <c r="I92" s="175">
        <v>8</v>
      </c>
      <c r="J92" s="175">
        <v>12</v>
      </c>
      <c r="K92" s="175">
        <v>16</v>
      </c>
      <c r="L92" s="175">
        <v>22</v>
      </c>
      <c r="M92" s="175">
        <v>32</v>
      </c>
      <c r="N92" s="176">
        <v>38</v>
      </c>
    </row>
    <row r="96" spans="2:20" ht="18" customHeight="1">
      <c r="B96" s="11">
        <v>4</v>
      </c>
      <c r="C96" s="448" t="s">
        <v>97</v>
      </c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7"/>
    </row>
    <row r="97" spans="3:19" ht="18" customHeight="1" thickBot="1"/>
    <row r="98" spans="3:19" ht="18" customHeight="1" thickBot="1">
      <c r="C98" s="458" t="s">
        <v>20</v>
      </c>
      <c r="D98" s="459"/>
      <c r="E98" s="459"/>
      <c r="F98" s="459"/>
      <c r="G98" s="177" t="str">
        <f>IF($F$23=0,"?",$F$23)</f>
        <v>?</v>
      </c>
      <c r="H98" s="453" t="str">
        <f>IF($F$23="","⚠️","")</f>
        <v>⚠️</v>
      </c>
      <c r="I98" s="461" t="s">
        <v>98</v>
      </c>
      <c r="J98" s="456"/>
      <c r="K98" s="456"/>
      <c r="L98" s="456"/>
      <c r="M98" s="456"/>
      <c r="N98" s="456"/>
      <c r="O98" s="456"/>
      <c r="P98" s="456"/>
      <c r="Q98" s="456"/>
      <c r="R98" s="456"/>
      <c r="S98" s="456"/>
    </row>
    <row r="100" spans="3:19" ht="18" customHeight="1">
      <c r="C100" s="455"/>
    </row>
    <row r="101" spans="3:19" ht="18" customHeight="1" thickBot="1">
      <c r="C101" s="9" t="s">
        <v>99</v>
      </c>
      <c r="D101" s="22"/>
      <c r="E101" s="22"/>
      <c r="F101" s="22"/>
      <c r="G101" s="22"/>
      <c r="I101" s="9" t="s">
        <v>100</v>
      </c>
      <c r="P101" s="181"/>
      <c r="Q101" s="181"/>
      <c r="R101" s="181"/>
      <c r="S101" s="181"/>
    </row>
    <row r="102" spans="3:19" ht="18" customHeight="1" thickTop="1" thickBot="1">
      <c r="D102" s="22"/>
      <c r="E102" s="22"/>
      <c r="F102" s="22"/>
      <c r="G102" s="182" t="s">
        <v>49</v>
      </c>
      <c r="O102" s="193"/>
      <c r="P102" s="578" t="s">
        <v>101</v>
      </c>
      <c r="Q102" s="579"/>
      <c r="R102" s="580"/>
      <c r="S102" s="526" t="str">
        <f>IF($F$23=0,"?",$M$110/$N$103)</f>
        <v>?</v>
      </c>
    </row>
    <row r="103" spans="3:19" ht="18" customHeight="1" thickBot="1">
      <c r="C103" s="185" t="s">
        <v>102</v>
      </c>
      <c r="D103" s="186"/>
      <c r="E103" s="186"/>
      <c r="F103" s="187"/>
      <c r="G103" s="188">
        <f>$F$150</f>
        <v>0</v>
      </c>
      <c r="I103" s="458" t="s">
        <v>103</v>
      </c>
      <c r="J103" s="460"/>
      <c r="K103" s="460"/>
      <c r="L103" s="460"/>
      <c r="M103" s="460"/>
      <c r="N103" s="180" t="str">
        <f>IF($G$98="?","?",$G$98*$G$62/1000)</f>
        <v>?</v>
      </c>
      <c r="O103" s="193"/>
      <c r="P103" s="581"/>
      <c r="Q103" s="582"/>
      <c r="R103" s="583"/>
      <c r="S103" s="527"/>
    </row>
    <row r="104" spans="3:19" ht="18" customHeight="1" thickBot="1">
      <c r="C104" s="554" t="s">
        <v>104</v>
      </c>
      <c r="D104" s="555"/>
      <c r="E104" s="555"/>
      <c r="F104" s="194"/>
      <c r="G104" s="558">
        <f>$G$150</f>
        <v>0</v>
      </c>
      <c r="H104" s="361"/>
      <c r="N104" s="13"/>
      <c r="O104" s="193"/>
      <c r="P104" s="581"/>
      <c r="Q104" s="582"/>
      <c r="R104" s="583"/>
      <c r="S104" s="527"/>
    </row>
    <row r="105" spans="3:19" ht="18" customHeight="1" thickBot="1">
      <c r="C105" s="556"/>
      <c r="D105" s="557"/>
      <c r="E105" s="557"/>
      <c r="F105" s="200"/>
      <c r="G105" s="559"/>
      <c r="M105" s="182" t="s">
        <v>83</v>
      </c>
      <c r="N105" s="183" t="s">
        <v>105</v>
      </c>
      <c r="O105" s="184"/>
      <c r="P105" s="581"/>
      <c r="Q105" s="582"/>
      <c r="R105" s="583"/>
      <c r="S105" s="527"/>
    </row>
    <row r="106" spans="3:19" ht="18" customHeight="1" thickBot="1">
      <c r="C106" s="167" t="s">
        <v>106</v>
      </c>
      <c r="D106" s="168"/>
      <c r="E106" s="168"/>
      <c r="F106" s="205"/>
      <c r="G106" s="206">
        <f>$H$150</f>
        <v>0</v>
      </c>
      <c r="I106" s="189" t="s">
        <v>107</v>
      </c>
      <c r="J106" s="190"/>
      <c r="K106" s="190"/>
      <c r="L106" s="190"/>
      <c r="M106" s="191"/>
      <c r="N106" s="192"/>
      <c r="O106" s="184"/>
      <c r="P106" s="584"/>
      <c r="Q106" s="585"/>
      <c r="R106" s="586"/>
      <c r="S106" s="528"/>
    </row>
    <row r="107" spans="3:19" ht="18" customHeight="1" thickTop="1">
      <c r="C107" s="211" t="s">
        <v>108</v>
      </c>
      <c r="D107" s="203"/>
      <c r="E107" s="203"/>
      <c r="F107" s="212"/>
      <c r="G107" s="206">
        <f>$I$150</f>
        <v>0</v>
      </c>
      <c r="I107" s="196" t="s">
        <v>109</v>
      </c>
      <c r="J107" s="197"/>
      <c r="K107" s="197"/>
      <c r="L107" s="168"/>
      <c r="M107" s="198">
        <f>$E$82</f>
        <v>0</v>
      </c>
      <c r="N107" s="199" t="str">
        <f>IF($G$98="?","?",$M107/$N$103)</f>
        <v>?</v>
      </c>
    </row>
    <row r="108" spans="3:19" ht="18" customHeight="1">
      <c r="C108" s="563" t="s">
        <v>110</v>
      </c>
      <c r="D108" s="564"/>
      <c r="E108" s="564"/>
      <c r="F108" s="571"/>
      <c r="G108" s="567">
        <f>$J$150</f>
        <v>0</v>
      </c>
      <c r="H108" s="217"/>
      <c r="I108" s="201" t="s">
        <v>111</v>
      </c>
      <c r="J108" s="202"/>
      <c r="K108" s="202"/>
      <c r="L108" s="203"/>
      <c r="M108" s="204">
        <f>$O82</f>
        <v>0</v>
      </c>
      <c r="N108" s="199" t="str">
        <f>IF($G$98="?","?",$M108/$N$103)</f>
        <v>?</v>
      </c>
      <c r="P108" s="341" t="s">
        <v>112</v>
      </c>
    </row>
    <row r="109" spans="3:19" ht="18" customHeight="1">
      <c r="C109" s="572"/>
      <c r="D109" s="573"/>
      <c r="E109" s="573"/>
      <c r="F109" s="574"/>
      <c r="G109" s="567"/>
      <c r="I109" s="207" t="s">
        <v>113</v>
      </c>
      <c r="J109" s="208"/>
      <c r="K109" s="208"/>
      <c r="L109" s="209" t="str">
        <f>IF($M$109&gt;0,"À justifier","")</f>
        <v/>
      </c>
      <c r="M109" s="210">
        <f>O150</f>
        <v>0</v>
      </c>
      <c r="N109" s="199" t="str">
        <f>IF($G$98="?","?",$M109/$N$103)</f>
        <v>?</v>
      </c>
      <c r="P109" s="1" t="s">
        <v>114</v>
      </c>
    </row>
    <row r="110" spans="3:19" ht="18" customHeight="1" thickBot="1">
      <c r="C110" s="563" t="s">
        <v>115</v>
      </c>
      <c r="D110" s="564"/>
      <c r="E110" s="564"/>
      <c r="F110" s="224"/>
      <c r="G110" s="568">
        <f>$K$150</f>
        <v>0</v>
      </c>
      <c r="H110" s="217"/>
      <c r="I110" s="213" t="s">
        <v>116</v>
      </c>
      <c r="J110" s="214"/>
      <c r="K110" s="214"/>
      <c r="L110" s="214"/>
      <c r="M110" s="215">
        <f>SUM($M$107:$M$109)</f>
        <v>0</v>
      </c>
      <c r="N110" s="216" t="str">
        <f>IF($G$98="?","?",$M110/$N$103)</f>
        <v>?</v>
      </c>
      <c r="P110" s="1" t="s">
        <v>117</v>
      </c>
    </row>
    <row r="111" spans="3:19" ht="18" customHeight="1" thickBot="1">
      <c r="C111" s="565"/>
      <c r="D111" s="566"/>
      <c r="E111" s="566"/>
      <c r="F111" s="226"/>
      <c r="G111" s="569"/>
      <c r="I111" s="218" t="s">
        <v>118</v>
      </c>
      <c r="J111" s="219"/>
      <c r="K111" s="220"/>
      <c r="L111" s="221"/>
      <c r="M111" s="222"/>
      <c r="N111" s="223"/>
    </row>
    <row r="112" spans="3:19" ht="18" customHeight="1" thickBot="1">
      <c r="C112" s="231" t="s">
        <v>119</v>
      </c>
      <c r="D112" s="232"/>
      <c r="E112" s="233"/>
      <c r="F112" s="234"/>
      <c r="G112" s="235">
        <f>$Q$50</f>
        <v>0</v>
      </c>
      <c r="I112" s="196" t="s">
        <v>120</v>
      </c>
      <c r="J112" s="197"/>
      <c r="K112" s="197"/>
      <c r="L112" s="168"/>
      <c r="M112" s="198">
        <f>P150</f>
        <v>0</v>
      </c>
      <c r="N112" s="199" t="str">
        <f>IF($G$98="?","?",$M112/$N$103)</f>
        <v>?</v>
      </c>
    </row>
    <row r="113" spans="3:19" ht="18" customHeight="1">
      <c r="C113" s="542" t="s">
        <v>121</v>
      </c>
      <c r="D113" s="543"/>
      <c r="E113" s="543"/>
      <c r="F113" s="544"/>
      <c r="G113" s="561">
        <f>IF($F$23&lt;=$G$112,0,$F$23-$G$112)</f>
        <v>0</v>
      </c>
      <c r="I113" s="207" t="s">
        <v>122</v>
      </c>
      <c r="J113" s="208"/>
      <c r="K113" s="208"/>
      <c r="L113" s="225"/>
      <c r="M113" s="210">
        <f>$G$113*$G$62/1000</f>
        <v>0</v>
      </c>
      <c r="N113" s="199" t="str">
        <f>IF($G$98="?","?",$M113/$N$103)</f>
        <v>?</v>
      </c>
    </row>
    <row r="114" spans="3:19" ht="18" customHeight="1" thickBot="1">
      <c r="C114" s="545"/>
      <c r="D114" s="546"/>
      <c r="E114" s="546"/>
      <c r="F114" s="547"/>
      <c r="G114" s="562"/>
      <c r="I114" s="227" t="s">
        <v>116</v>
      </c>
      <c r="J114" s="228"/>
      <c r="K114" s="228"/>
      <c r="L114" s="228"/>
      <c r="M114" s="229">
        <f>M112+M113</f>
        <v>0</v>
      </c>
      <c r="N114" s="230" t="str">
        <f>IF($G$98="?","?",$M114/$N$103)</f>
        <v>?</v>
      </c>
    </row>
    <row r="115" spans="3:19" ht="18" customHeight="1" thickBot="1">
      <c r="C115" s="238" t="s">
        <v>53</v>
      </c>
      <c r="D115" s="89"/>
      <c r="E115" s="239"/>
      <c r="F115" s="239"/>
      <c r="G115" s="240">
        <f>$G$112+$G$113</f>
        <v>0</v>
      </c>
      <c r="I115" s="88" t="s">
        <v>53</v>
      </c>
      <c r="J115" s="89"/>
      <c r="K115" s="89"/>
      <c r="L115" s="89"/>
      <c r="M115" s="236">
        <f>$M$110+$M$114</f>
        <v>0</v>
      </c>
      <c r="N115" s="237" t="str">
        <f>IF(G98="?","?",$N$110+$N$114)</f>
        <v>?</v>
      </c>
    </row>
    <row r="119" spans="3:19" ht="15" customHeight="1">
      <c r="C119" s="241" t="s">
        <v>123</v>
      </c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</row>
    <row r="120" spans="3:19" ht="15" customHeight="1">
      <c r="C120" s="243" t="s">
        <v>124</v>
      </c>
      <c r="D120" s="242"/>
      <c r="E120" s="242"/>
      <c r="F120" s="242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</row>
    <row r="121" spans="3:19" ht="18" customHeight="1">
      <c r="C121" s="244"/>
    </row>
    <row r="122" spans="3:19" ht="18" hidden="1" customHeight="1">
      <c r="C122" s="245" t="s">
        <v>125</v>
      </c>
      <c r="D122" s="246"/>
      <c r="E122" s="245"/>
      <c r="F122" s="247"/>
      <c r="G122" s="246"/>
      <c r="H122" s="246"/>
      <c r="I122" s="246"/>
      <c r="J122" s="246"/>
      <c r="K122" s="246"/>
      <c r="L122" s="246"/>
      <c r="M122" s="246"/>
      <c r="N122" s="246"/>
      <c r="O122" s="246"/>
      <c r="P122" s="246"/>
      <c r="Q122" s="246"/>
      <c r="R122" s="246"/>
      <c r="S122" s="246"/>
    </row>
    <row r="123" spans="3:19" ht="18" hidden="1" customHeight="1" thickBot="1"/>
    <row r="124" spans="3:19" ht="41.25" hidden="1" thickBot="1">
      <c r="C124" s="248"/>
      <c r="D124" s="249"/>
      <c r="E124" s="250" t="s">
        <v>126</v>
      </c>
      <c r="F124" s="251" t="s">
        <v>127</v>
      </c>
      <c r="G124" s="252" t="s">
        <v>128</v>
      </c>
      <c r="H124" s="249"/>
      <c r="I124" s="253"/>
      <c r="J124" s="254" t="s">
        <v>129</v>
      </c>
    </row>
    <row r="125" spans="3:19" ht="18" hidden="1" customHeight="1" thickBot="1">
      <c r="C125" s="255"/>
      <c r="D125" s="256"/>
      <c r="E125" s="257" t="s">
        <v>130</v>
      </c>
      <c r="F125" s="258" t="s">
        <v>131</v>
      </c>
      <c r="G125" s="259" t="s">
        <v>132</v>
      </c>
      <c r="H125" s="186"/>
      <c r="I125" s="260"/>
      <c r="J125" s="261" t="s">
        <v>133</v>
      </c>
      <c r="L125" s="532" t="s">
        <v>134</v>
      </c>
      <c r="M125" s="533"/>
      <c r="N125" s="534"/>
      <c r="P125" s="262" t="s">
        <v>11</v>
      </c>
      <c r="Q125" s="250"/>
    </row>
    <row r="126" spans="3:19" ht="18" hidden="1" customHeight="1">
      <c r="C126" s="263"/>
      <c r="D126" s="264"/>
      <c r="E126" s="265" t="s">
        <v>135</v>
      </c>
      <c r="F126" s="266" t="s">
        <v>131</v>
      </c>
      <c r="G126" s="267" t="s">
        <v>136</v>
      </c>
      <c r="H126" s="203"/>
      <c r="I126" s="268"/>
      <c r="J126" s="269" t="s">
        <v>137</v>
      </c>
      <c r="L126" s="270" t="s">
        <v>137</v>
      </c>
      <c r="M126" s="271" t="s">
        <v>138</v>
      </c>
      <c r="N126" s="272"/>
      <c r="P126" s="167" t="s">
        <v>15</v>
      </c>
      <c r="Q126" s="205"/>
    </row>
    <row r="127" spans="3:19" ht="18" hidden="1" customHeight="1">
      <c r="C127" s="263"/>
      <c r="D127" s="264"/>
      <c r="E127" s="265" t="s">
        <v>139</v>
      </c>
      <c r="F127" s="266" t="s">
        <v>131</v>
      </c>
      <c r="G127" s="267" t="s">
        <v>136</v>
      </c>
      <c r="H127" s="203"/>
      <c r="I127" s="268"/>
      <c r="J127" s="269" t="s">
        <v>137</v>
      </c>
      <c r="L127" s="273" t="s">
        <v>140</v>
      </c>
      <c r="M127" s="267" t="s">
        <v>141</v>
      </c>
      <c r="N127" s="212"/>
      <c r="P127" s="211" t="s">
        <v>142</v>
      </c>
      <c r="Q127" s="212"/>
    </row>
    <row r="128" spans="3:19" ht="18" hidden="1" customHeight="1" thickBot="1">
      <c r="C128" s="274"/>
      <c r="D128" s="275"/>
      <c r="E128" s="276" t="s">
        <v>143</v>
      </c>
      <c r="F128" s="266" t="s">
        <v>131</v>
      </c>
      <c r="G128" s="267" t="s">
        <v>141</v>
      </c>
      <c r="H128" s="203"/>
      <c r="I128" s="268"/>
      <c r="J128" s="269" t="s">
        <v>140</v>
      </c>
      <c r="L128" s="273" t="s">
        <v>144</v>
      </c>
      <c r="M128" s="267" t="s">
        <v>145</v>
      </c>
      <c r="N128" s="277"/>
      <c r="P128" s="278" t="s">
        <v>18</v>
      </c>
      <c r="Q128" s="279"/>
    </row>
    <row r="129" spans="3:27" ht="18" hidden="1" customHeight="1" thickBot="1">
      <c r="C129" s="274"/>
      <c r="D129" s="275"/>
      <c r="E129" s="276" t="s">
        <v>146</v>
      </c>
      <c r="F129" s="266" t="s">
        <v>131</v>
      </c>
      <c r="G129" s="267" t="s">
        <v>141</v>
      </c>
      <c r="H129" s="203"/>
      <c r="I129" s="268"/>
      <c r="J129" s="269" t="s">
        <v>140</v>
      </c>
      <c r="L129" s="280" t="s">
        <v>147</v>
      </c>
      <c r="M129" s="281" t="s">
        <v>148</v>
      </c>
      <c r="N129" s="279"/>
    </row>
    <row r="130" spans="3:27" ht="18" hidden="1" customHeight="1" thickBot="1">
      <c r="C130" s="282"/>
      <c r="D130" s="136"/>
      <c r="E130" s="283" t="s">
        <v>149</v>
      </c>
      <c r="F130" s="284" t="s">
        <v>150</v>
      </c>
      <c r="G130" s="267" t="s">
        <v>141</v>
      </c>
      <c r="H130" s="203"/>
      <c r="I130" s="268"/>
      <c r="J130" s="269" t="s">
        <v>140</v>
      </c>
      <c r="P130" s="285" t="s">
        <v>151</v>
      </c>
      <c r="Q130" s="286"/>
    </row>
    <row r="131" spans="3:27" ht="18" hidden="1" customHeight="1" thickBot="1">
      <c r="C131" s="282"/>
      <c r="D131" s="136"/>
      <c r="E131" s="283" t="s">
        <v>152</v>
      </c>
      <c r="F131" s="284" t="s">
        <v>150</v>
      </c>
      <c r="G131" s="267" t="s">
        <v>141</v>
      </c>
      <c r="H131" s="203"/>
      <c r="I131" s="268"/>
      <c r="J131" s="269" t="s">
        <v>140</v>
      </c>
      <c r="L131" s="285" t="s">
        <v>153</v>
      </c>
      <c r="M131" s="287"/>
      <c r="N131" s="288">
        <v>1.9999999999999999E-7</v>
      </c>
      <c r="P131" s="167" t="s">
        <v>154</v>
      </c>
      <c r="Q131" s="205"/>
    </row>
    <row r="132" spans="3:27" ht="18" hidden="1" customHeight="1">
      <c r="C132" s="282"/>
      <c r="D132" s="136"/>
      <c r="E132" s="283" t="s">
        <v>155</v>
      </c>
      <c r="F132" s="284" t="s">
        <v>150</v>
      </c>
      <c r="G132" s="267" t="s">
        <v>156</v>
      </c>
      <c r="H132" s="203"/>
      <c r="I132" s="268"/>
      <c r="J132" s="269" t="s">
        <v>144</v>
      </c>
      <c r="P132" s="211" t="s">
        <v>17</v>
      </c>
      <c r="Q132" s="212"/>
    </row>
    <row r="133" spans="3:27" ht="18" hidden="1" customHeight="1" thickBot="1">
      <c r="C133" s="289"/>
      <c r="D133" s="290"/>
      <c r="E133" s="291" t="s">
        <v>148</v>
      </c>
      <c r="F133" s="292" t="s">
        <v>150</v>
      </c>
      <c r="G133" s="293" t="s">
        <v>148</v>
      </c>
      <c r="H133" s="294"/>
      <c r="I133" s="295"/>
      <c r="J133" s="176" t="s">
        <v>147</v>
      </c>
      <c r="P133" s="278" t="s">
        <v>23</v>
      </c>
      <c r="Q133" s="279"/>
    </row>
    <row r="134" spans="3:27" ht="18" hidden="1" customHeight="1"/>
    <row r="135" spans="3:27" ht="18" hidden="1" customHeight="1" thickBot="1">
      <c r="X135" s="296"/>
    </row>
    <row r="136" spans="3:27" ht="18" hidden="1" customHeight="1" thickBot="1">
      <c r="F136" s="178" t="s">
        <v>157</v>
      </c>
      <c r="G136" s="179"/>
      <c r="H136" s="179"/>
      <c r="I136" s="179"/>
      <c r="J136" s="179"/>
      <c r="K136" s="179"/>
      <c r="L136" s="297"/>
      <c r="M136" s="298" t="s">
        <v>158</v>
      </c>
      <c r="N136" s="179"/>
      <c r="O136" s="179"/>
      <c r="P136" s="179"/>
      <c r="Q136" s="299"/>
      <c r="AA136" s="296"/>
    </row>
    <row r="137" spans="3:27" ht="54" hidden="1">
      <c r="C137" s="548" t="s">
        <v>159</v>
      </c>
      <c r="D137" s="551" t="s">
        <v>134</v>
      </c>
      <c r="E137" s="529" t="s">
        <v>160</v>
      </c>
      <c r="F137" s="300" t="s">
        <v>102</v>
      </c>
      <c r="G137" s="301" t="s">
        <v>161</v>
      </c>
      <c r="H137" s="301" t="s">
        <v>106</v>
      </c>
      <c r="I137" s="301" t="s">
        <v>108</v>
      </c>
      <c r="J137" s="302" t="s">
        <v>162</v>
      </c>
      <c r="K137" s="302" t="s">
        <v>163</v>
      </c>
      <c r="L137" s="560" t="s">
        <v>164</v>
      </c>
      <c r="M137" s="535" t="s">
        <v>165</v>
      </c>
      <c r="N137" s="537" t="s">
        <v>166</v>
      </c>
      <c r="O137" s="539" t="s">
        <v>167</v>
      </c>
      <c r="P137" s="540" t="s">
        <v>168</v>
      </c>
      <c r="Q137" s="524" t="s">
        <v>169</v>
      </c>
    </row>
    <row r="138" spans="3:27" ht="6" hidden="1" customHeight="1">
      <c r="C138" s="549"/>
      <c r="D138" s="552"/>
      <c r="E138" s="530"/>
      <c r="F138" s="303"/>
      <c r="G138" s="304"/>
      <c r="H138" s="305"/>
      <c r="I138" s="305"/>
      <c r="J138" s="306"/>
      <c r="K138" s="307"/>
      <c r="L138" s="525"/>
      <c r="M138" s="536"/>
      <c r="N138" s="538"/>
      <c r="O138" s="538"/>
      <c r="P138" s="541"/>
      <c r="Q138" s="525"/>
    </row>
    <row r="139" spans="3:27" ht="18" hidden="1" customHeight="1" thickBot="1">
      <c r="C139" s="550"/>
      <c r="D139" s="553"/>
      <c r="E139" s="531"/>
      <c r="F139" s="308" t="s">
        <v>49</v>
      </c>
      <c r="G139" s="309" t="s">
        <v>49</v>
      </c>
      <c r="H139" s="309" t="s">
        <v>49</v>
      </c>
      <c r="I139" s="310" t="s">
        <v>49</v>
      </c>
      <c r="J139" s="309" t="s">
        <v>49</v>
      </c>
      <c r="K139" s="309" t="s">
        <v>49</v>
      </c>
      <c r="L139" s="463" t="s">
        <v>170</v>
      </c>
      <c r="M139" s="467" t="s">
        <v>75</v>
      </c>
      <c r="N139" s="60" t="s">
        <v>81</v>
      </c>
      <c r="O139" s="118" t="s">
        <v>171</v>
      </c>
      <c r="P139" s="119" t="s">
        <v>83</v>
      </c>
      <c r="Q139" s="311" t="s">
        <v>83</v>
      </c>
    </row>
    <row r="140" spans="3:27" ht="18" hidden="1" customHeight="1">
      <c r="C140" s="312">
        <f t="shared" ref="C140:C149" si="12">C40</f>
        <v>0</v>
      </c>
      <c r="D140" s="313" t="str">
        <f>IF($I72=$G$125,IF($L72="","A","B"),IF($I72=$G$126,"A",IF($I72=$G$128,"B",IF($I72=$G$132,"C","D"))))</f>
        <v>D</v>
      </c>
      <c r="E140" s="314" t="b">
        <f>IF(AND($I72="Infiltration",$L72=""),TRUE,FALSE)</f>
        <v>0</v>
      </c>
      <c r="F140" s="315">
        <f t="shared" ref="F140:F149" si="13">$I40+IF($E40=$E$125,$H40,0)</f>
        <v>0</v>
      </c>
      <c r="G140" s="316">
        <f t="shared" ref="G140:G149" si="14">SUM($J40:$K40)+IF(OR($E40=$E$126,$E40=$E$127),$H40,0)</f>
        <v>0</v>
      </c>
      <c r="H140" s="316">
        <f t="shared" ref="H140:H149" si="15">$N40+IF(OR($E40=$E$128,$E40=$E$129),$H40,0)</f>
        <v>0</v>
      </c>
      <c r="I140" s="316">
        <f t="shared" ref="I140:I149" si="16">$O40</f>
        <v>0</v>
      </c>
      <c r="J140" s="316">
        <f t="shared" ref="J140:J149" si="17">IF(NOT($E40=$E$133),$L40+$M40+$P40,0)</f>
        <v>0</v>
      </c>
      <c r="K140" s="317">
        <f t="shared" ref="K140:K149" si="18">IF($E40=$E$133,$L40+$M40+$P40,0)</f>
        <v>0</v>
      </c>
      <c r="L140" s="464">
        <f t="shared" ref="L140:L149" si="19">SUM(F140:K140)</f>
        <v>0</v>
      </c>
      <c r="M140" s="318" t="str">
        <f>$E72</f>
        <v>/</v>
      </c>
      <c r="N140" s="319">
        <f>IF(OR($D140="A",$D140="B"),$O72,0)</f>
        <v>0</v>
      </c>
      <c r="O140" s="319">
        <f>IF($D140="C",IF($Q40="/",0,$R40*$G$62/1000),0)</f>
        <v>0</v>
      </c>
      <c r="P140" s="320">
        <f>IF($L140=0,0,IF($N140="?","?",IF($F72="À justifier**",0,IF($F72="/",0,$F72-$N140-$O140))))</f>
        <v>0</v>
      </c>
      <c r="Q140" s="321">
        <f>SUM(M140:P140)</f>
        <v>0</v>
      </c>
    </row>
    <row r="141" spans="3:27" ht="18" hidden="1" customHeight="1">
      <c r="C141" s="322">
        <f t="shared" si="12"/>
        <v>0</v>
      </c>
      <c r="D141" s="323" t="str">
        <f>IF($I73=$G$125,IF($L73="","A","B"),IF($I73=$G$126,"A",IF($I73=$G$128,"B",IF($I73=$G$132,"C","D"))))</f>
        <v>D</v>
      </c>
      <c r="E141" s="314" t="b">
        <f>IF(AND($I73="Infiltration",$L73=""),TRUE,FALSE)</f>
        <v>0</v>
      </c>
      <c r="F141" s="324">
        <f t="shared" si="13"/>
        <v>0</v>
      </c>
      <c r="G141" s="325">
        <f t="shared" si="14"/>
        <v>0</v>
      </c>
      <c r="H141" s="325">
        <f t="shared" si="15"/>
        <v>0</v>
      </c>
      <c r="I141" s="325">
        <f t="shared" si="16"/>
        <v>0</v>
      </c>
      <c r="J141" s="325">
        <f t="shared" si="17"/>
        <v>0</v>
      </c>
      <c r="K141" s="326">
        <f t="shared" si="18"/>
        <v>0</v>
      </c>
      <c r="L141" s="464">
        <f t="shared" si="19"/>
        <v>0</v>
      </c>
      <c r="M141" s="318" t="str">
        <f>$E73</f>
        <v>/</v>
      </c>
      <c r="N141" s="319">
        <f>IF(OR($D141="A",$D141="B"),$O73,0)</f>
        <v>0</v>
      </c>
      <c r="O141" s="319">
        <f t="shared" ref="O141:O149" si="20">IF($D141="C",IF($Q41="/",0,$R41*$G$62/1000),0)</f>
        <v>0</v>
      </c>
      <c r="P141" s="320">
        <f>IF($L141=0,0,IF($N141="?","?",IF($F73="À justifier**",0,IF($F73="/",0,$F73-$N141-$O141))))</f>
        <v>0</v>
      </c>
      <c r="Q141" s="321">
        <f t="shared" ref="Q141:Q149" si="21">SUM(M141:P141)</f>
        <v>0</v>
      </c>
    </row>
    <row r="142" spans="3:27" ht="18" hidden="1" customHeight="1">
      <c r="C142" s="322">
        <f t="shared" si="12"/>
        <v>0</v>
      </c>
      <c r="D142" s="323" t="str">
        <f>IF($I74=$G$125,IF($L74="","A","B"),IF($I74=$G$126,"A",IF($I74=$G$128,"B",IF($I74=$G$132,"C","D"))))</f>
        <v>D</v>
      </c>
      <c r="E142" s="314" t="b">
        <f>IF(AND($I74="Infiltration",$L74=""),TRUE,FALSE)</f>
        <v>0</v>
      </c>
      <c r="F142" s="324">
        <f t="shared" si="13"/>
        <v>0</v>
      </c>
      <c r="G142" s="325">
        <f t="shared" si="14"/>
        <v>0</v>
      </c>
      <c r="H142" s="325">
        <f t="shared" si="15"/>
        <v>0</v>
      </c>
      <c r="I142" s="325">
        <f t="shared" si="16"/>
        <v>0</v>
      </c>
      <c r="J142" s="325">
        <f t="shared" si="17"/>
        <v>0</v>
      </c>
      <c r="K142" s="326">
        <f t="shared" si="18"/>
        <v>0</v>
      </c>
      <c r="L142" s="464">
        <f t="shared" si="19"/>
        <v>0</v>
      </c>
      <c r="M142" s="318" t="str">
        <f>$E74</f>
        <v>/</v>
      </c>
      <c r="N142" s="319">
        <f>IF(OR($D142="A",$D142="B"),$O74,0)</f>
        <v>0</v>
      </c>
      <c r="O142" s="319">
        <f t="shared" si="20"/>
        <v>0</v>
      </c>
      <c r="P142" s="320">
        <f>IF($L142=0,0,IF($N142="?","?",IF($F74="À justifier**",0,IF($F74="/",0,$F74-$N142-$O142))))</f>
        <v>0</v>
      </c>
      <c r="Q142" s="321">
        <f t="shared" si="21"/>
        <v>0</v>
      </c>
    </row>
    <row r="143" spans="3:27" ht="18" hidden="1" customHeight="1">
      <c r="C143" s="322">
        <f t="shared" si="12"/>
        <v>0</v>
      </c>
      <c r="D143" s="323" t="str">
        <f>IF($I75=$G$125,IF($L75="","A","B"),IF($I75=$G$126,"A",IF($I75=$G$128,"B",IF($I75=$G$132,"C","D"))))</f>
        <v>D</v>
      </c>
      <c r="E143" s="314" t="b">
        <f>IF(AND($I75="Infiltration",$L75=""),TRUE,FALSE)</f>
        <v>0</v>
      </c>
      <c r="F143" s="324">
        <f t="shared" si="13"/>
        <v>0</v>
      </c>
      <c r="G143" s="325">
        <f t="shared" si="14"/>
        <v>0</v>
      </c>
      <c r="H143" s="325">
        <f t="shared" si="15"/>
        <v>0</v>
      </c>
      <c r="I143" s="325">
        <f t="shared" si="16"/>
        <v>0</v>
      </c>
      <c r="J143" s="325">
        <f t="shared" si="17"/>
        <v>0</v>
      </c>
      <c r="K143" s="326">
        <f t="shared" si="18"/>
        <v>0</v>
      </c>
      <c r="L143" s="464">
        <f t="shared" si="19"/>
        <v>0</v>
      </c>
      <c r="M143" s="318" t="str">
        <f>$E75</f>
        <v>/</v>
      </c>
      <c r="N143" s="319">
        <f>IF(OR($D143="A",$D143="B"),$O75,0)</f>
        <v>0</v>
      </c>
      <c r="O143" s="319">
        <f t="shared" si="20"/>
        <v>0</v>
      </c>
      <c r="P143" s="320">
        <f>IF($L143=0,0,IF($N143="?","?",IF($F75="À justifier**",0,IF($F75="/",0,$F75-$N143-$O143))))</f>
        <v>0</v>
      </c>
      <c r="Q143" s="321">
        <f t="shared" si="21"/>
        <v>0</v>
      </c>
    </row>
    <row r="144" spans="3:27" ht="18" hidden="1" customHeight="1">
      <c r="C144" s="322">
        <f t="shared" si="12"/>
        <v>0</v>
      </c>
      <c r="D144" s="323" t="str">
        <f>IF($I76=$G$125,IF($L76="","A","B"),IF($I76=$G$126,"A",IF($I76=$G$128,"B",IF($I76=$G$132,"C","D"))))</f>
        <v>D</v>
      </c>
      <c r="E144" s="314" t="b">
        <f>IF(AND($I76="Infiltration",$L76=""),TRUE,FALSE)</f>
        <v>0</v>
      </c>
      <c r="F144" s="324">
        <f t="shared" si="13"/>
        <v>0</v>
      </c>
      <c r="G144" s="325">
        <f t="shared" si="14"/>
        <v>0</v>
      </c>
      <c r="H144" s="325">
        <f t="shared" si="15"/>
        <v>0</v>
      </c>
      <c r="I144" s="325">
        <f t="shared" si="16"/>
        <v>0</v>
      </c>
      <c r="J144" s="325">
        <f t="shared" si="17"/>
        <v>0</v>
      </c>
      <c r="K144" s="326">
        <f t="shared" si="18"/>
        <v>0</v>
      </c>
      <c r="L144" s="464">
        <f t="shared" si="19"/>
        <v>0</v>
      </c>
      <c r="M144" s="318" t="str">
        <f>$E76</f>
        <v>/</v>
      </c>
      <c r="N144" s="319">
        <f>IF(OR($D144="A",$D144="B"),$O76,0)</f>
        <v>0</v>
      </c>
      <c r="O144" s="319">
        <f t="shared" si="20"/>
        <v>0</v>
      </c>
      <c r="P144" s="320">
        <f>IF($L144=0,0,IF($N144="?","?",IF($F76="À justifier**",0,IF($F76="/",0,$F76-$N144-$O144))))</f>
        <v>0</v>
      </c>
      <c r="Q144" s="321">
        <f t="shared" si="21"/>
        <v>0</v>
      </c>
    </row>
    <row r="145" spans="3:19" ht="18" hidden="1" customHeight="1">
      <c r="C145" s="322">
        <f t="shared" si="12"/>
        <v>0</v>
      </c>
      <c r="D145" s="323" t="str">
        <f>IF($I77=$G$125,IF($L77="","A","B"),IF($I77=$G$126,"A",IF($I77=$G$128,"B",IF($I77=$G$132,"C","D"))))</f>
        <v>D</v>
      </c>
      <c r="E145" s="314" t="b">
        <f>IF(AND($I77="Infiltration",$L77=""),TRUE,FALSE)</f>
        <v>0</v>
      </c>
      <c r="F145" s="324">
        <f t="shared" si="13"/>
        <v>0</v>
      </c>
      <c r="G145" s="325">
        <f t="shared" si="14"/>
        <v>0</v>
      </c>
      <c r="H145" s="325">
        <f t="shared" si="15"/>
        <v>0</v>
      </c>
      <c r="I145" s="325">
        <f t="shared" si="16"/>
        <v>0</v>
      </c>
      <c r="J145" s="325">
        <f t="shared" si="17"/>
        <v>0</v>
      </c>
      <c r="K145" s="326">
        <f t="shared" si="18"/>
        <v>0</v>
      </c>
      <c r="L145" s="464">
        <f t="shared" si="19"/>
        <v>0</v>
      </c>
      <c r="M145" s="318" t="str">
        <f>$E77</f>
        <v>/</v>
      </c>
      <c r="N145" s="319">
        <f>IF(OR($D145="A",$D145="B"),$O77,0)</f>
        <v>0</v>
      </c>
      <c r="O145" s="319">
        <f t="shared" si="20"/>
        <v>0</v>
      </c>
      <c r="P145" s="320">
        <f>IF($L145=0,0,IF($N145="?","?",IF($F77="À justifier**",0,IF($F77="/",0,$F77-$N145-$O145))))</f>
        <v>0</v>
      </c>
      <c r="Q145" s="321">
        <f t="shared" si="21"/>
        <v>0</v>
      </c>
    </row>
    <row r="146" spans="3:19" ht="18" hidden="1" customHeight="1">
      <c r="C146" s="322">
        <f t="shared" si="12"/>
        <v>0</v>
      </c>
      <c r="D146" s="323" t="str">
        <f>IF($I78=$G$125,IF($L78="","A","B"),IF($I78=$G$126,"A",IF($I78=$G$128,"B",IF($I78=$G$132,"C","D"))))</f>
        <v>D</v>
      </c>
      <c r="E146" s="314" t="b">
        <f>IF(AND($I78="Infiltration",$L78=""),TRUE,FALSE)</f>
        <v>0</v>
      </c>
      <c r="F146" s="324">
        <f t="shared" si="13"/>
        <v>0</v>
      </c>
      <c r="G146" s="325">
        <f t="shared" si="14"/>
        <v>0</v>
      </c>
      <c r="H146" s="325">
        <f t="shared" si="15"/>
        <v>0</v>
      </c>
      <c r="I146" s="325">
        <f t="shared" si="16"/>
        <v>0</v>
      </c>
      <c r="J146" s="325">
        <f t="shared" si="17"/>
        <v>0</v>
      </c>
      <c r="K146" s="326">
        <f t="shared" si="18"/>
        <v>0</v>
      </c>
      <c r="L146" s="464">
        <f t="shared" si="19"/>
        <v>0</v>
      </c>
      <c r="M146" s="318" t="str">
        <f>$E78</f>
        <v>/</v>
      </c>
      <c r="N146" s="319">
        <f>IF(OR($D146="A",$D146="B"),$O78,0)</f>
        <v>0</v>
      </c>
      <c r="O146" s="319">
        <f t="shared" si="20"/>
        <v>0</v>
      </c>
      <c r="P146" s="320">
        <f>IF($L146=0,0,IF($N146="?","?",IF($F78="À justifier**",0,IF($F78="/",0,$F78-$N146-$O146))))</f>
        <v>0</v>
      </c>
      <c r="Q146" s="321">
        <f t="shared" si="21"/>
        <v>0</v>
      </c>
    </row>
    <row r="147" spans="3:19" ht="18" hidden="1" customHeight="1">
      <c r="C147" s="322">
        <f t="shared" si="12"/>
        <v>0</v>
      </c>
      <c r="D147" s="323" t="str">
        <f>IF($I79=$G$125,IF($L79="","A","B"),IF($I79=$G$126,"A",IF($I79=$G$128,"B",IF($I79=$G$132,"C","D"))))</f>
        <v>D</v>
      </c>
      <c r="E147" s="314" t="b">
        <f>IF(AND($I79="Infiltration",$L79=""),TRUE,FALSE)</f>
        <v>0</v>
      </c>
      <c r="F147" s="324">
        <f t="shared" si="13"/>
        <v>0</v>
      </c>
      <c r="G147" s="325">
        <f t="shared" si="14"/>
        <v>0</v>
      </c>
      <c r="H147" s="325">
        <f t="shared" si="15"/>
        <v>0</v>
      </c>
      <c r="I147" s="325">
        <f t="shared" si="16"/>
        <v>0</v>
      </c>
      <c r="J147" s="325">
        <f t="shared" si="17"/>
        <v>0</v>
      </c>
      <c r="K147" s="326">
        <f t="shared" si="18"/>
        <v>0</v>
      </c>
      <c r="L147" s="464">
        <f t="shared" si="19"/>
        <v>0</v>
      </c>
      <c r="M147" s="318" t="str">
        <f>$E79</f>
        <v>/</v>
      </c>
      <c r="N147" s="319">
        <f>IF(OR($D147="A",$D147="B"),$O79,0)</f>
        <v>0</v>
      </c>
      <c r="O147" s="319">
        <f t="shared" si="20"/>
        <v>0</v>
      </c>
      <c r="P147" s="320">
        <f>IF($L147=0,0,IF($N147="?","?",IF($F79="À justifier**",0,IF($F79="/",0,$F79-$N147-$O147))))</f>
        <v>0</v>
      </c>
      <c r="Q147" s="321">
        <f t="shared" si="21"/>
        <v>0</v>
      </c>
    </row>
    <row r="148" spans="3:19" ht="18" hidden="1" customHeight="1">
      <c r="C148" s="322">
        <f t="shared" si="12"/>
        <v>0</v>
      </c>
      <c r="D148" s="323" t="str">
        <f>IF($I80=$G$125,IF($L80="","A","B"),IF($I80=$G$126,"A",IF($I80=$G$128,"B",IF($I80=$G$132,"C","D"))))</f>
        <v>D</v>
      </c>
      <c r="E148" s="314" t="b">
        <f>IF(AND($I80="Infiltration",$L80=""),TRUE,FALSE)</f>
        <v>0</v>
      </c>
      <c r="F148" s="324">
        <f t="shared" si="13"/>
        <v>0</v>
      </c>
      <c r="G148" s="325">
        <f t="shared" si="14"/>
        <v>0</v>
      </c>
      <c r="H148" s="325">
        <f t="shared" si="15"/>
        <v>0</v>
      </c>
      <c r="I148" s="325">
        <f t="shared" si="16"/>
        <v>0</v>
      </c>
      <c r="J148" s="325">
        <f t="shared" si="17"/>
        <v>0</v>
      </c>
      <c r="K148" s="326">
        <f t="shared" si="18"/>
        <v>0</v>
      </c>
      <c r="L148" s="464">
        <f t="shared" si="19"/>
        <v>0</v>
      </c>
      <c r="M148" s="318" t="str">
        <f>$E80</f>
        <v>/</v>
      </c>
      <c r="N148" s="319">
        <f>IF(OR($D148="A",$D148="B"),$O80,0)</f>
        <v>0</v>
      </c>
      <c r="O148" s="319">
        <f t="shared" si="20"/>
        <v>0</v>
      </c>
      <c r="P148" s="320">
        <f>IF($L148=0,0,IF($N148="?","?",IF($F80="À justifier**",0,IF($F80="/",0,$F80-$N148-$O148))))</f>
        <v>0</v>
      </c>
      <c r="Q148" s="321">
        <f t="shared" si="21"/>
        <v>0</v>
      </c>
    </row>
    <row r="149" spans="3:19" ht="18" hidden="1" customHeight="1" thickBot="1">
      <c r="C149" s="327">
        <f t="shared" si="12"/>
        <v>0</v>
      </c>
      <c r="D149" s="328" t="str">
        <f>IF($I81=$G$125,IF($L81="","A","B"),IF($I81=$G$126,"A",IF($I81=$G$128,"B",IF($I81=$G$132,"C","D"))))</f>
        <v>D</v>
      </c>
      <c r="E149" s="314" t="b">
        <f>IF(AND($I81="Infiltration",$L81=""),TRUE,FALSE)</f>
        <v>0</v>
      </c>
      <c r="F149" s="329">
        <f t="shared" si="13"/>
        <v>0</v>
      </c>
      <c r="G149" s="330">
        <f t="shared" si="14"/>
        <v>0</v>
      </c>
      <c r="H149" s="330">
        <f t="shared" si="15"/>
        <v>0</v>
      </c>
      <c r="I149" s="330">
        <f t="shared" si="16"/>
        <v>0</v>
      </c>
      <c r="J149" s="330">
        <f t="shared" si="17"/>
        <v>0</v>
      </c>
      <c r="K149" s="331">
        <f t="shared" si="18"/>
        <v>0</v>
      </c>
      <c r="L149" s="464">
        <f t="shared" si="19"/>
        <v>0</v>
      </c>
      <c r="M149" s="318" t="str">
        <f>$E81</f>
        <v>/</v>
      </c>
      <c r="N149" s="319">
        <f>IF(OR($D149="A",$D149="B"),$O81,0)</f>
        <v>0</v>
      </c>
      <c r="O149" s="319">
        <f t="shared" si="20"/>
        <v>0</v>
      </c>
      <c r="P149" s="320">
        <f>IF($L149=0,0,IF($N149="?","?",IF($F81="À justifier**",0,IF($F81="/",0,$F81-$N149-$O149))))</f>
        <v>0</v>
      </c>
      <c r="Q149" s="321">
        <f t="shared" si="21"/>
        <v>0</v>
      </c>
    </row>
    <row r="150" spans="3:19" ht="18" hidden="1" customHeight="1" thickBot="1">
      <c r="C150" s="332" t="s">
        <v>53</v>
      </c>
      <c r="D150" s="333"/>
      <c r="E150" s="334" t="b">
        <f>IF(COUNTIF(E140:E149,TRUE)&gt;0,TRUE,FALSE)</f>
        <v>0</v>
      </c>
      <c r="F150" s="95">
        <f t="shared" ref="F150:L150" si="22">SUM(F140:F149)</f>
        <v>0</v>
      </c>
      <c r="G150" s="335">
        <f t="shared" si="22"/>
        <v>0</v>
      </c>
      <c r="H150" s="335">
        <f t="shared" si="22"/>
        <v>0</v>
      </c>
      <c r="I150" s="335">
        <f t="shared" si="22"/>
        <v>0</v>
      </c>
      <c r="J150" s="335">
        <f t="shared" si="22"/>
        <v>0</v>
      </c>
      <c r="K150" s="335">
        <f t="shared" si="22"/>
        <v>0</v>
      </c>
      <c r="L150" s="465">
        <f t="shared" si="22"/>
        <v>0</v>
      </c>
      <c r="M150" s="468">
        <f>SUM(M140:M149)</f>
        <v>0</v>
      </c>
      <c r="N150" s="466">
        <f>SUM(N140:N149)</f>
        <v>0</v>
      </c>
      <c r="O150" s="336">
        <f t="shared" ref="O150" si="23">SUM(O140:O149)</f>
        <v>0</v>
      </c>
      <c r="P150" s="337">
        <f t="shared" ref="P150:Q150" si="24">SUM(P140:P149)</f>
        <v>0</v>
      </c>
      <c r="Q150" s="236">
        <f t="shared" si="24"/>
        <v>0</v>
      </c>
    </row>
    <row r="151" spans="3:19" ht="18" hidden="1" customHeight="1"/>
    <row r="152" spans="3:19" ht="18" hidden="1" customHeight="1">
      <c r="C152" s="245" t="s">
        <v>172</v>
      </c>
      <c r="D152" s="246"/>
      <c r="E152" s="245"/>
      <c r="F152" s="247"/>
      <c r="G152" s="246"/>
      <c r="H152" s="246"/>
      <c r="I152" s="246"/>
      <c r="J152" s="246"/>
      <c r="K152" s="246"/>
      <c r="L152" s="246"/>
      <c r="M152" s="246"/>
      <c r="N152" s="246"/>
      <c r="O152" s="246"/>
      <c r="P152" s="246"/>
      <c r="Q152" s="246"/>
      <c r="R152" s="246"/>
      <c r="S152" s="246"/>
    </row>
  </sheetData>
  <sheetProtection algorithmName="SHA-512" hashValue="1PSGT/4GQ3TvBqn/mohABG/KZa6FbX7/6aTjgL1n8ro4XI0XhuYW/HzkEqlztCggnIqQHjSztgbojFW/ohGpZw==" saltValue="VnQ3JhbTtb8zywCeErEYOg==" spinCount="100000" sheet="1" objects="1" scenarios="1"/>
  <protectedRanges>
    <protectedRange sqref="I53:P53" name="Plage5"/>
    <protectedRange sqref="C40:P49" name="Plage4"/>
    <protectedRange sqref="F17:J18" name="Plage1"/>
    <protectedRange sqref="F20:G21" name="Plage2"/>
    <protectedRange sqref="F23:G23" name="Plage3"/>
    <protectedRange sqref="G62" name="Plage6"/>
    <protectedRange sqref="L72:M81" name="Plage7"/>
    <protectedRange sqref="I34:P38" name="Plage8"/>
  </protectedRanges>
  <mergeCells count="73">
    <mergeCell ref="R21:S21"/>
    <mergeCell ref="S65:S70"/>
    <mergeCell ref="P102:R106"/>
    <mergeCell ref="E43:G43"/>
    <mergeCell ref="E44:G44"/>
    <mergeCell ref="R23:S23"/>
    <mergeCell ref="F21:G21"/>
    <mergeCell ref="O34:O37"/>
    <mergeCell ref="R65:R71"/>
    <mergeCell ref="P34:P37"/>
    <mergeCell ref="N65:N70"/>
    <mergeCell ref="L65:L70"/>
    <mergeCell ref="M65:M70"/>
    <mergeCell ref="N34:N37"/>
    <mergeCell ref="M34:M37"/>
    <mergeCell ref="C110:E111"/>
    <mergeCell ref="G108:G109"/>
    <mergeCell ref="G110:G111"/>
    <mergeCell ref="C87:C88"/>
    <mergeCell ref="C108:F109"/>
    <mergeCell ref="Q137:Q138"/>
    <mergeCell ref="S102:S106"/>
    <mergeCell ref="Q65:Q70"/>
    <mergeCell ref="E137:E139"/>
    <mergeCell ref="L125:N125"/>
    <mergeCell ref="M137:M138"/>
    <mergeCell ref="N137:N138"/>
    <mergeCell ref="O137:O138"/>
    <mergeCell ref="P137:P138"/>
    <mergeCell ref="C113:F114"/>
    <mergeCell ref="C137:C139"/>
    <mergeCell ref="D137:D139"/>
    <mergeCell ref="C104:E105"/>
    <mergeCell ref="G104:G105"/>
    <mergeCell ref="L137:L138"/>
    <mergeCell ref="G113:G114"/>
    <mergeCell ref="L34:L37"/>
    <mergeCell ref="I65:K71"/>
    <mergeCell ref="S34:S38"/>
    <mergeCell ref="R34:R38"/>
    <mergeCell ref="O65:O70"/>
    <mergeCell ref="Q34:Q38"/>
    <mergeCell ref="P65:P70"/>
    <mergeCell ref="E10:J10"/>
    <mergeCell ref="E9:J9"/>
    <mergeCell ref="G65:G70"/>
    <mergeCell ref="F23:G23"/>
    <mergeCell ref="E34:G39"/>
    <mergeCell ref="H34:H37"/>
    <mergeCell ref="I34:I37"/>
    <mergeCell ref="F65:F70"/>
    <mergeCell ref="H65:H70"/>
    <mergeCell ref="F17:J17"/>
    <mergeCell ref="E11:J11"/>
    <mergeCell ref="F18:J18"/>
    <mergeCell ref="E45:G45"/>
    <mergeCell ref="J34:K36"/>
    <mergeCell ref="F20:G20"/>
    <mergeCell ref="E49:G49"/>
    <mergeCell ref="C30:C31"/>
    <mergeCell ref="C59:C60"/>
    <mergeCell ref="C84:C85"/>
    <mergeCell ref="E46:G46"/>
    <mergeCell ref="E47:G47"/>
    <mergeCell ref="E40:G40"/>
    <mergeCell ref="E41:G41"/>
    <mergeCell ref="E42:G42"/>
    <mergeCell ref="E48:G48"/>
    <mergeCell ref="C64:C71"/>
    <mergeCell ref="D33:D39"/>
    <mergeCell ref="C33:C39"/>
    <mergeCell ref="D64:D70"/>
    <mergeCell ref="E64:E70"/>
  </mergeCells>
  <conditionalFormatting sqref="S102">
    <cfRule type="cellIs" dxfId="71" priority="139" operator="between">
      <formula>0.8</formula>
      <formula>1</formula>
    </cfRule>
    <cfRule type="cellIs" dxfId="70" priority="139" operator="greaterThanOrEqual">
      <formula>1</formula>
    </cfRule>
    <cfRule type="cellIs" dxfId="69" priority="140" operator="between">
      <formula>0.6</formula>
      <formula>0.8</formula>
    </cfRule>
    <cfRule type="cellIs" dxfId="68" priority="141" operator="lessThanOrEqual">
      <formula>0.6</formula>
    </cfRule>
  </conditionalFormatting>
  <conditionalFormatting sqref="E40:G49">
    <cfRule type="cellIs" dxfId="67" priority="100" operator="equal">
      <formula>$E$133</formula>
    </cfRule>
  </conditionalFormatting>
  <conditionalFormatting sqref="I72:K81">
    <cfRule type="cellIs" dxfId="66" priority="99" operator="equal">
      <formula>$G$133</formula>
    </cfRule>
  </conditionalFormatting>
  <conditionalFormatting sqref="G113:G114">
    <cfRule type="dataBar" priority="42">
      <dataBar>
        <cfvo type="min"/>
        <cfvo type="num" val="$G$115"/>
        <color theme="0" tint="-0.249977111117893"/>
      </dataBar>
      <extLst>
        <ext xmlns:x14="http://schemas.microsoft.com/office/spreadsheetml/2009/9/main" uri="{B025F937-C7B1-47D3-B67F-A62EFF666E3E}">
          <x14:id>{BF7E221E-8A7F-4175-AB60-71114F50AE47}</x14:id>
        </ext>
      </extLst>
    </cfRule>
  </conditionalFormatting>
  <conditionalFormatting sqref="Q72:S81 C72:O81">
    <cfRule type="expression" dxfId="65" priority="41">
      <formula>IF($C40="",1,0)</formula>
    </cfRule>
  </conditionalFormatting>
  <conditionalFormatting sqref="E40:S49">
    <cfRule type="expression" dxfId="64" priority="32">
      <formula>IF($C40="",1,0)</formula>
    </cfRule>
  </conditionalFormatting>
  <conditionalFormatting sqref="S102:S106">
    <cfRule type="cellIs" dxfId="63" priority="31" operator="equal">
      <formula>"?"</formula>
    </cfRule>
  </conditionalFormatting>
  <conditionalFormatting sqref="G98">
    <cfRule type="cellIs" dxfId="62" priority="30" operator="equal">
      <formula>"?"</formula>
    </cfRule>
  </conditionalFormatting>
  <conditionalFormatting sqref="R72:R81">
    <cfRule type="cellIs" dxfId="61" priority="146" operator="equal">
      <formula>1</formula>
    </cfRule>
    <cfRule type="cellIs" dxfId="60" priority="147" operator="between">
      <formula>0.8</formula>
      <formula>1</formula>
    </cfRule>
    <cfRule type="cellIs" dxfId="59" priority="148" operator="between">
      <formula>0.6</formula>
      <formula>0.8</formula>
    </cfRule>
    <cfRule type="cellIs" dxfId="58" priority="149" operator="lessThanOrEqual">
      <formula>0.6</formula>
    </cfRule>
  </conditionalFormatting>
  <conditionalFormatting sqref="Q72:S81 D72:O81">
    <cfRule type="cellIs" dxfId="57" priority="35" operator="equal">
      <formula>"À justifier**"</formula>
    </cfRule>
    <cfRule type="cellIs" dxfId="56" priority="36" operator="equal">
      <formula>"?"</formula>
    </cfRule>
  </conditionalFormatting>
  <conditionalFormatting sqref="L109">
    <cfRule type="expression" dxfId="55" priority="12">
      <formula>IF($M$109&gt;0,1,0)</formula>
    </cfRule>
  </conditionalFormatting>
  <conditionalFormatting sqref="N103">
    <cfRule type="cellIs" dxfId="54" priority="10" operator="equal">
      <formula>"?"</formula>
    </cfRule>
  </conditionalFormatting>
  <conditionalFormatting sqref="N107:N109 N111:N113">
    <cfRule type="cellIs" dxfId="53" priority="9" operator="equal">
      <formula>"?"</formula>
    </cfRule>
  </conditionalFormatting>
  <conditionalFormatting sqref="G103">
    <cfRule type="dataBar" priority="500">
      <dataBar>
        <cfvo type="min"/>
        <cfvo type="num" val="$G$115"/>
        <color rgb="FF7FC6A4"/>
      </dataBar>
      <extLst>
        <ext xmlns:x14="http://schemas.microsoft.com/office/spreadsheetml/2009/9/main" uri="{B025F937-C7B1-47D3-B67F-A62EFF666E3E}">
          <x14:id>{C38713A4-2935-4E92-91D5-D8F47C4937A2}</x14:id>
        </ext>
      </extLst>
    </cfRule>
  </conditionalFormatting>
  <conditionalFormatting sqref="G104">
    <cfRule type="dataBar" priority="501">
      <dataBar>
        <cfvo type="min"/>
        <cfvo type="num" val="$G$115"/>
        <color rgb="FFB1D6A9"/>
      </dataBar>
      <extLst>
        <ext xmlns:x14="http://schemas.microsoft.com/office/spreadsheetml/2009/9/main" uri="{B025F937-C7B1-47D3-B67F-A62EFF666E3E}">
          <x14:id>{1962134D-4592-499E-AF12-C720DECF1ECA}</x14:id>
        </ext>
      </extLst>
    </cfRule>
  </conditionalFormatting>
  <conditionalFormatting sqref="G107">
    <cfRule type="dataBar" priority="502">
      <dataBar>
        <cfvo type="min"/>
        <cfvo type="num" val="$G$115"/>
        <color rgb="FFFCBB79"/>
      </dataBar>
      <extLst>
        <ext xmlns:x14="http://schemas.microsoft.com/office/spreadsheetml/2009/9/main" uri="{B025F937-C7B1-47D3-B67F-A62EFF666E3E}">
          <x14:id>{769CC078-5694-494F-B2D6-3FAAB3D7C469}</x14:id>
        </ext>
      </extLst>
    </cfRule>
  </conditionalFormatting>
  <conditionalFormatting sqref="G108">
    <cfRule type="dataBar" priority="503">
      <dataBar>
        <cfvo type="min"/>
        <cfvo type="num" val="$G$115"/>
        <color rgb="FF8398A9"/>
      </dataBar>
      <extLst>
        <ext xmlns:x14="http://schemas.microsoft.com/office/spreadsheetml/2009/9/main" uri="{B025F937-C7B1-47D3-B67F-A62EFF666E3E}">
          <x14:id>{7593FC90-E2AA-4508-9EB7-63A6CDF061F4}</x14:id>
        </ext>
      </extLst>
    </cfRule>
  </conditionalFormatting>
  <conditionalFormatting sqref="G106">
    <cfRule type="dataBar" priority="504">
      <dataBar>
        <cfvo type="min"/>
        <cfvo type="num" val="$G$115"/>
        <color rgb="FFFCBB79"/>
      </dataBar>
      <extLst>
        <ext xmlns:x14="http://schemas.microsoft.com/office/spreadsheetml/2009/9/main" uri="{B025F937-C7B1-47D3-B67F-A62EFF666E3E}">
          <x14:id>{F37DC068-4B53-4809-B9CF-C75D9A63731D}</x14:id>
        </ext>
      </extLst>
    </cfRule>
  </conditionalFormatting>
  <conditionalFormatting sqref="G110">
    <cfRule type="dataBar" priority="505">
      <dataBar>
        <cfvo type="min"/>
        <cfvo type="num" val="$G$115"/>
        <color theme="0" tint="-0.249977111117893"/>
      </dataBar>
      <extLst>
        <ext xmlns:x14="http://schemas.microsoft.com/office/spreadsheetml/2009/9/main" uri="{B025F937-C7B1-47D3-B67F-A62EFF666E3E}">
          <x14:id>{975E5320-177E-4698-83D8-18AB1286FA38}</x14:id>
        </ext>
      </extLst>
    </cfRule>
  </conditionalFormatting>
  <conditionalFormatting sqref="D87:R88">
    <cfRule type="expression" dxfId="52" priority="506">
      <formula>IF($E$150=FALSE,1,0)</formula>
    </cfRule>
  </conditionalFormatting>
  <conditionalFormatting sqref="P72:P81">
    <cfRule type="expression" dxfId="51" priority="7">
      <formula>IF($C40="",1,0)</formula>
    </cfRule>
  </conditionalFormatting>
  <conditionalFormatting sqref="P72:P81">
    <cfRule type="cellIs" dxfId="50" priority="5" operator="equal">
      <formula>"À justifier**"</formula>
    </cfRule>
    <cfRule type="cellIs" dxfId="49" priority="6" operator="equal">
      <formula>"?"</formula>
    </cfRule>
  </conditionalFormatting>
  <conditionalFormatting sqref="S87:S88">
    <cfRule type="expression" dxfId="48" priority="4">
      <formula>IF($E$150=FALSE,1,0)</formula>
    </cfRule>
  </conditionalFormatting>
  <conditionalFormatting sqref="D40:D49">
    <cfRule type="expression" dxfId="47" priority="2">
      <formula>IF($C40="",1,0)</formula>
    </cfRule>
  </conditionalFormatting>
  <conditionalFormatting sqref="H98:S98">
    <cfRule type="expression" dxfId="46" priority="1">
      <formula>IF($F$23&gt;0,TRUE,FALSE)</formula>
    </cfRule>
  </conditionalFormatting>
  <conditionalFormatting sqref="H40:H49">
    <cfRule type="expression" dxfId="45" priority="677">
      <formula>IF(OR($E40=$E$132,$E40=$E$133),1,0)</formula>
    </cfRule>
  </conditionalFormatting>
  <conditionalFormatting sqref="M72:M81">
    <cfRule type="expression" dxfId="44" priority="688">
      <formula>IF($I72=$G$126,1,0)</formula>
    </cfRule>
  </conditionalFormatting>
  <conditionalFormatting sqref="L72:L81">
    <cfRule type="expression" dxfId="43" priority="689">
      <formula>IF(OR($I72=$G$125,$I72=$G$128),1,0)</formula>
    </cfRule>
  </conditionalFormatting>
  <dataValidations count="4">
    <dataValidation type="list" allowBlank="1" showInputMessage="1" showErrorMessage="1" sqref="E40:E49" xr:uid="{78E44F64-C5BF-4197-B274-C4D06175DBAD}">
      <formula1>$E$125:$E$133</formula1>
    </dataValidation>
    <dataValidation type="list" allowBlank="1" showInputMessage="1" showErrorMessage="1" sqref="F21:G21" xr:uid="{0B5C240A-36D8-4569-A180-88038A4ADC60}">
      <formula1>$P$131:$P$133</formula1>
    </dataValidation>
    <dataValidation type="list" allowBlank="1" showInputMessage="1" showErrorMessage="1" sqref="F20:G20" xr:uid="{23E24E92-08D5-40D7-9F93-F827947300CB}">
      <formula1>$P$126:$P$128</formula1>
    </dataValidation>
    <dataValidation type="list" allowBlank="1" showInputMessage="1" showErrorMessage="1" sqref="M72:M81" xr:uid="{89DC4D47-7DED-47A9-83CB-7C0D65DE6D6F}">
      <formula1>$H$91:$N$91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F7E221E-8A7F-4175-AB60-71114F50AE47}">
            <x14:dataBar minLength="0" maxLength="100" gradient="0">
              <x14:cfvo type="autoMin"/>
              <x14:cfvo type="num">
                <xm:f>$G$115</xm:f>
              </x14:cfvo>
              <x14:negativeFillColor rgb="FFFF0000"/>
              <x14:axisColor rgb="FF000000"/>
            </x14:dataBar>
          </x14:cfRule>
          <xm:sqref>G113:G114</xm:sqref>
        </x14:conditionalFormatting>
        <x14:conditionalFormatting xmlns:xm="http://schemas.microsoft.com/office/excel/2006/main">
          <x14:cfRule type="dataBar" id="{C38713A4-2935-4E92-91D5-D8F47C4937A2}">
            <x14:dataBar minLength="0" maxLength="100" gradient="0">
              <x14:cfvo type="autoMin"/>
              <x14:cfvo type="num">
                <xm:f>$G$115</xm:f>
              </x14:cfvo>
              <x14:negativeFillColor rgb="FFFF0000"/>
              <x14:axisColor rgb="FF000000"/>
            </x14:dataBar>
          </x14:cfRule>
          <xm:sqref>G103</xm:sqref>
        </x14:conditionalFormatting>
        <x14:conditionalFormatting xmlns:xm="http://schemas.microsoft.com/office/excel/2006/main">
          <x14:cfRule type="dataBar" id="{1962134D-4592-499E-AF12-C720DECF1ECA}">
            <x14:dataBar minLength="0" maxLength="100" gradient="0">
              <x14:cfvo type="autoMin"/>
              <x14:cfvo type="num">
                <xm:f>$G$115</xm:f>
              </x14:cfvo>
              <x14:negativeFillColor rgb="FFFF0000"/>
              <x14:axisColor rgb="FF000000"/>
            </x14:dataBar>
          </x14:cfRule>
          <xm:sqref>G104</xm:sqref>
        </x14:conditionalFormatting>
        <x14:conditionalFormatting xmlns:xm="http://schemas.microsoft.com/office/excel/2006/main">
          <x14:cfRule type="dataBar" id="{769CC078-5694-494F-B2D6-3FAAB3D7C469}">
            <x14:dataBar minLength="0" maxLength="100" gradient="0">
              <x14:cfvo type="autoMin"/>
              <x14:cfvo type="num">
                <xm:f>$G$115</xm:f>
              </x14:cfvo>
              <x14:negativeFillColor rgb="FFFF0000"/>
              <x14:axisColor rgb="FF000000"/>
            </x14:dataBar>
          </x14:cfRule>
          <xm:sqref>G107</xm:sqref>
        </x14:conditionalFormatting>
        <x14:conditionalFormatting xmlns:xm="http://schemas.microsoft.com/office/excel/2006/main">
          <x14:cfRule type="dataBar" id="{7593FC90-E2AA-4508-9EB7-63A6CDF061F4}">
            <x14:dataBar minLength="0" maxLength="100" gradient="0">
              <x14:cfvo type="autoMin"/>
              <x14:cfvo type="num">
                <xm:f>$G$115</xm:f>
              </x14:cfvo>
              <x14:negativeFillColor rgb="FFFF0000"/>
              <x14:axisColor rgb="FF000000"/>
            </x14:dataBar>
          </x14:cfRule>
          <xm:sqref>G108</xm:sqref>
        </x14:conditionalFormatting>
        <x14:conditionalFormatting xmlns:xm="http://schemas.microsoft.com/office/excel/2006/main">
          <x14:cfRule type="dataBar" id="{F37DC068-4B53-4809-B9CF-C75D9A63731D}">
            <x14:dataBar minLength="0" maxLength="100" gradient="0">
              <x14:cfvo type="autoMin"/>
              <x14:cfvo type="num">
                <xm:f>$G$115</xm:f>
              </x14:cfvo>
              <x14:negativeFillColor rgb="FFFF0000"/>
              <x14:axisColor rgb="FF000000"/>
            </x14:dataBar>
          </x14:cfRule>
          <xm:sqref>G106</xm:sqref>
        </x14:conditionalFormatting>
        <x14:conditionalFormatting xmlns:xm="http://schemas.microsoft.com/office/excel/2006/main">
          <x14:cfRule type="dataBar" id="{975E5320-177E-4698-83D8-18AB1286FA38}">
            <x14:dataBar minLength="0" maxLength="100" gradient="0">
              <x14:cfvo type="autoMin"/>
              <x14:cfvo type="num">
                <xm:f>$G$115</xm:f>
              </x14:cfvo>
              <x14:negativeFillColor rgb="FFFF0000"/>
              <x14:axisColor rgb="FF000000"/>
            </x14:dataBar>
          </x14:cfRule>
          <xm:sqref>G110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FDE79-C847-40C7-8DE0-D49FE985EEED}">
  <sheetPr>
    <tabColor rgb="FFFAD6E7"/>
  </sheetPr>
  <dimension ref="B1:X137"/>
  <sheetViews>
    <sheetView showGridLines="0" zoomScaleNormal="100" workbookViewId="0">
      <selection activeCell="F17" sqref="F17:J17"/>
    </sheetView>
  </sheetViews>
  <sheetFormatPr defaultColWidth="11" defaultRowHeight="18" customHeight="1"/>
  <cols>
    <col min="1" max="1" width="1" style="1" customWidth="1"/>
    <col min="2" max="2" width="2.5" style="1" customWidth="1"/>
    <col min="3" max="3" width="8" style="1" customWidth="1"/>
    <col min="4" max="19" width="11.69921875" style="1" customWidth="1"/>
    <col min="20" max="16384" width="11" style="1"/>
  </cols>
  <sheetData>
    <row r="1" spans="2:19" ht="7.5" customHeight="1"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</row>
    <row r="2" spans="2:19" ht="22.5" customHeight="1"/>
    <row r="3" spans="2:19" ht="22.5" customHeight="1">
      <c r="E3" s="3" t="s">
        <v>0</v>
      </c>
      <c r="F3" s="4"/>
      <c r="G3" s="4"/>
      <c r="H3" s="4"/>
      <c r="I3" s="4"/>
      <c r="J3" s="4"/>
      <c r="K3" s="4"/>
      <c r="N3" s="5"/>
      <c r="O3" s="5"/>
      <c r="P3" s="5"/>
      <c r="Q3" s="5"/>
      <c r="R3" s="5"/>
      <c r="S3" s="5"/>
    </row>
    <row r="4" spans="2:19" ht="22.5" customHeight="1">
      <c r="E4" s="3" t="s">
        <v>1</v>
      </c>
      <c r="F4" s="6"/>
      <c r="G4" s="6"/>
      <c r="N4" s="5"/>
      <c r="O4" s="5"/>
      <c r="P4" s="5"/>
      <c r="Q4" s="5"/>
      <c r="R4" s="5"/>
      <c r="S4" s="5"/>
    </row>
    <row r="5" spans="2:19" ht="22.5" customHeight="1">
      <c r="E5" s="343" t="s">
        <v>173</v>
      </c>
      <c r="F5" s="344"/>
      <c r="G5" s="344"/>
      <c r="H5" s="345"/>
      <c r="N5" s="5"/>
      <c r="O5" s="5"/>
      <c r="P5" s="5"/>
      <c r="Q5" s="5"/>
      <c r="R5" s="5"/>
      <c r="S5" s="5"/>
    </row>
    <row r="6" spans="2:19" ht="18" customHeight="1">
      <c r="E6" s="9"/>
      <c r="F6" s="9"/>
      <c r="G6" s="9"/>
      <c r="J6" s="462"/>
      <c r="N6" s="5"/>
      <c r="O6" s="5"/>
      <c r="P6" s="5"/>
      <c r="Q6" s="5"/>
      <c r="R6" s="5"/>
      <c r="S6" s="5"/>
    </row>
    <row r="7" spans="2:19" ht="18" customHeight="1">
      <c r="E7" s="9"/>
      <c r="N7" s="5"/>
      <c r="O7" s="5"/>
      <c r="P7" s="5"/>
      <c r="Q7" s="5"/>
      <c r="R7" s="5"/>
      <c r="S7" s="5"/>
    </row>
    <row r="8" spans="2:19" ht="18" customHeight="1" thickBot="1">
      <c r="E8" s="338" t="s">
        <v>3</v>
      </c>
      <c r="N8" s="5"/>
      <c r="O8" s="5"/>
      <c r="P8" s="5"/>
      <c r="Q8" s="5"/>
      <c r="R8" s="5"/>
      <c r="S8" s="5"/>
    </row>
    <row r="9" spans="2:19" ht="18" customHeight="1">
      <c r="E9" s="486" t="s">
        <v>4</v>
      </c>
      <c r="F9" s="487"/>
      <c r="G9" s="487"/>
      <c r="H9" s="487"/>
      <c r="I9" s="487"/>
      <c r="J9" s="488"/>
      <c r="N9" s="5"/>
      <c r="O9" s="5"/>
      <c r="P9" s="5"/>
      <c r="Q9" s="5"/>
      <c r="R9" s="5"/>
      <c r="S9" s="5"/>
    </row>
    <row r="10" spans="2:19" ht="18" customHeight="1">
      <c r="E10" s="483" t="s">
        <v>5</v>
      </c>
      <c r="F10" s="484"/>
      <c r="G10" s="484"/>
      <c r="H10" s="484"/>
      <c r="I10" s="484"/>
      <c r="J10" s="485"/>
      <c r="N10" s="5"/>
      <c r="O10" s="5"/>
      <c r="P10" s="5"/>
      <c r="Q10" s="5"/>
      <c r="R10" s="5"/>
      <c r="S10" s="5"/>
    </row>
    <row r="11" spans="2:19" ht="18" customHeight="1" thickBot="1">
      <c r="E11" s="511" t="s">
        <v>6</v>
      </c>
      <c r="F11" s="512"/>
      <c r="G11" s="512"/>
      <c r="H11" s="512"/>
      <c r="I11" s="512"/>
      <c r="J11" s="513"/>
      <c r="N11" s="5"/>
      <c r="O11" s="5"/>
      <c r="P11" s="5"/>
      <c r="Q11" s="5"/>
      <c r="R11" s="5"/>
      <c r="S11" s="5"/>
    </row>
    <row r="12" spans="2:19" ht="18" customHeight="1">
      <c r="N12" s="5"/>
      <c r="O12" s="5"/>
      <c r="P12" s="5"/>
      <c r="Q12" s="5"/>
      <c r="R12" s="5"/>
      <c r="S12" s="5"/>
    </row>
    <row r="13" spans="2:19" ht="18" customHeight="1">
      <c r="N13" s="5"/>
      <c r="O13" s="5"/>
      <c r="P13" s="5"/>
      <c r="Q13" s="5"/>
      <c r="R13" s="5"/>
      <c r="S13" s="5"/>
    </row>
    <row r="14" spans="2:19" ht="18" customHeight="1">
      <c r="N14" s="5"/>
      <c r="O14" s="5"/>
      <c r="P14" s="5"/>
      <c r="Q14" s="5"/>
      <c r="R14" s="5"/>
      <c r="S14" s="5"/>
    </row>
    <row r="15" spans="2:19" ht="18" customHeight="1">
      <c r="B15" s="346">
        <v>1</v>
      </c>
      <c r="C15" s="448" t="s">
        <v>7</v>
      </c>
      <c r="D15" s="12"/>
      <c r="E15" s="12"/>
      <c r="F15" s="12"/>
      <c r="G15" s="12"/>
      <c r="H15" s="12"/>
      <c r="I15" s="12"/>
      <c r="J15" s="12"/>
      <c r="N15" s="5"/>
      <c r="O15" s="5"/>
      <c r="P15" s="5"/>
      <c r="Q15" s="5"/>
      <c r="R15" s="5"/>
      <c r="S15" s="5"/>
    </row>
    <row r="16" spans="2:19" ht="18" customHeight="1" thickBot="1">
      <c r="F16" s="13"/>
      <c r="G16" s="13"/>
      <c r="H16" s="13"/>
      <c r="I16" s="13"/>
      <c r="J16" s="13"/>
      <c r="N16" s="5"/>
      <c r="O16" s="5"/>
      <c r="P16" s="5"/>
      <c r="Q16" s="5"/>
      <c r="R16" s="5"/>
      <c r="S16" s="5"/>
    </row>
    <row r="17" spans="2:19" ht="18" customHeight="1">
      <c r="C17" s="14" t="s">
        <v>8</v>
      </c>
      <c r="D17" s="15"/>
      <c r="E17" s="15"/>
      <c r="F17" s="508"/>
      <c r="G17" s="509"/>
      <c r="H17" s="509"/>
      <c r="I17" s="509"/>
      <c r="J17" s="510"/>
      <c r="N17" s="5"/>
      <c r="O17" s="5"/>
      <c r="P17" s="5"/>
      <c r="Q17" s="5"/>
      <c r="R17" s="5"/>
      <c r="S17" s="5"/>
    </row>
    <row r="18" spans="2:19" ht="18" customHeight="1" thickBot="1">
      <c r="C18" s="16" t="s">
        <v>9</v>
      </c>
      <c r="D18" s="17"/>
      <c r="E18" s="17"/>
      <c r="F18" s="514"/>
      <c r="G18" s="515"/>
      <c r="H18" s="515"/>
      <c r="I18" s="515"/>
      <c r="J18" s="516"/>
      <c r="N18" s="5"/>
      <c r="O18" s="5"/>
      <c r="P18" s="5"/>
      <c r="Q18" s="5"/>
      <c r="R18" s="5"/>
      <c r="S18" s="5"/>
    </row>
    <row r="19" spans="2:19" ht="18" customHeight="1" thickBot="1">
      <c r="C19" s="18"/>
      <c r="D19" s="18"/>
      <c r="E19" s="18"/>
      <c r="F19" s="18"/>
      <c r="G19" s="18"/>
      <c r="H19" s="18"/>
      <c r="I19" s="18"/>
      <c r="J19" s="18"/>
    </row>
    <row r="20" spans="2:19" ht="18" customHeight="1" thickBot="1">
      <c r="C20" s="19" t="s">
        <v>11</v>
      </c>
      <c r="D20" s="20"/>
      <c r="E20" s="21"/>
      <c r="F20" s="508"/>
      <c r="G20" s="510"/>
      <c r="N20" s="339" t="s">
        <v>12</v>
      </c>
      <c r="R20" s="339" t="s">
        <v>13</v>
      </c>
      <c r="S20" s="22"/>
    </row>
    <row r="21" spans="2:19" ht="18" customHeight="1" thickBot="1">
      <c r="C21" s="23" t="s">
        <v>14</v>
      </c>
      <c r="D21" s="24"/>
      <c r="E21" s="25"/>
      <c r="F21" s="514"/>
      <c r="G21" s="516"/>
      <c r="N21" s="26" t="s">
        <v>15</v>
      </c>
      <c r="O21" s="27" t="s">
        <v>16</v>
      </c>
      <c r="R21" s="575" t="s">
        <v>17</v>
      </c>
      <c r="S21" s="576"/>
    </row>
    <row r="22" spans="2:19" ht="18" customHeight="1" thickBot="1">
      <c r="N22" s="28" t="s">
        <v>18</v>
      </c>
      <c r="O22" s="27" t="s">
        <v>19</v>
      </c>
    </row>
    <row r="23" spans="2:19" ht="18" customHeight="1" thickBot="1">
      <c r="C23" s="29" t="s">
        <v>20</v>
      </c>
      <c r="D23" s="30"/>
      <c r="E23" s="30"/>
      <c r="F23" s="491"/>
      <c r="G23" s="492"/>
      <c r="N23" s="31" t="s">
        <v>21</v>
      </c>
      <c r="O23" s="27" t="s">
        <v>22</v>
      </c>
      <c r="R23" s="587" t="s">
        <v>23</v>
      </c>
      <c r="S23" s="588"/>
    </row>
    <row r="24" spans="2:19" ht="18" customHeight="1">
      <c r="C24" s="340" t="s">
        <v>24</v>
      </c>
      <c r="K24" s="33"/>
      <c r="L24" s="33"/>
    </row>
    <row r="25" spans="2:19" s="34" customFormat="1" ht="18" customHeight="1">
      <c r="C25" s="1"/>
      <c r="D25" s="1"/>
      <c r="E25" s="1"/>
      <c r="F25" s="1"/>
      <c r="G25" s="1"/>
      <c r="H25" s="1"/>
      <c r="I25" s="1"/>
      <c r="J25" s="1"/>
      <c r="K25" s="1"/>
      <c r="O25" s="462"/>
      <c r="P25" s="462"/>
      <c r="Q25" s="462"/>
      <c r="R25" s="462"/>
    </row>
    <row r="26" spans="2:19" s="34" customFormat="1" ht="18" customHeight="1">
      <c r="C26" s="1"/>
      <c r="D26" s="1"/>
      <c r="E26" s="1"/>
      <c r="F26" s="1"/>
      <c r="G26" s="1"/>
      <c r="H26" s="1"/>
      <c r="I26" s="1"/>
      <c r="J26" s="1"/>
      <c r="K26" s="1"/>
    </row>
    <row r="27" spans="2:19" s="34" customFormat="1" ht="18" customHeight="1">
      <c r="C27" s="35"/>
      <c r="K27" s="1"/>
    </row>
    <row r="28" spans="2:19" ht="18" customHeight="1">
      <c r="B28" s="346">
        <v>2</v>
      </c>
      <c r="C28" s="448" t="s">
        <v>25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2:19" ht="7.5" customHeight="1">
      <c r="C29" s="38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</row>
    <row r="30" spans="2:19" s="34" customFormat="1" ht="18" customHeight="1">
      <c r="C30" s="469" t="s">
        <v>26</v>
      </c>
      <c r="D30" s="39" t="s">
        <v>27</v>
      </c>
      <c r="E30" s="40"/>
      <c r="F30" s="40"/>
      <c r="G30" s="40"/>
      <c r="H30" s="40"/>
      <c r="I30" s="40"/>
      <c r="J30" s="40"/>
      <c r="K30" s="5"/>
      <c r="L30" s="5"/>
      <c r="M30" s="5"/>
      <c r="N30" s="5"/>
      <c r="O30" s="40"/>
      <c r="P30" s="40"/>
      <c r="Q30" s="40"/>
      <c r="R30" s="40"/>
      <c r="S30" s="40"/>
    </row>
    <row r="31" spans="2:19" ht="18" customHeight="1">
      <c r="C31" s="469"/>
      <c r="D31" s="41" t="s">
        <v>28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42"/>
      <c r="S31" s="42"/>
    </row>
    <row r="32" spans="2:19" ht="27" customHeight="1" thickBot="1">
      <c r="S32" s="104"/>
    </row>
    <row r="33" spans="3:19" ht="18" customHeight="1">
      <c r="C33" s="478" t="s">
        <v>174</v>
      </c>
      <c r="D33" s="629" t="s">
        <v>30</v>
      </c>
      <c r="E33" s="43" t="s">
        <v>31</v>
      </c>
      <c r="F33" s="44"/>
      <c r="G33" s="44"/>
      <c r="H33" s="45"/>
      <c r="I33" s="46" t="s">
        <v>32</v>
      </c>
      <c r="J33" s="47"/>
      <c r="K33" s="47"/>
      <c r="L33" s="47"/>
      <c r="M33" s="47"/>
      <c r="N33" s="47"/>
      <c r="O33" s="47"/>
      <c r="P33" s="48"/>
      <c r="Q33" s="347"/>
      <c r="R33" s="348" t="s">
        <v>175</v>
      </c>
      <c r="S33" s="349"/>
    </row>
    <row r="34" spans="3:19" ht="18" customHeight="1">
      <c r="C34" s="479"/>
      <c r="D34" s="630"/>
      <c r="E34" s="496" t="s">
        <v>34</v>
      </c>
      <c r="F34" s="497"/>
      <c r="G34" s="498"/>
      <c r="H34" s="502" t="s">
        <v>35</v>
      </c>
      <c r="I34" s="504" t="s">
        <v>36</v>
      </c>
      <c r="J34" s="489" t="s">
        <v>37</v>
      </c>
      <c r="K34" s="489"/>
      <c r="L34" s="489" t="s">
        <v>38</v>
      </c>
      <c r="M34" s="489" t="s">
        <v>39</v>
      </c>
      <c r="N34" s="489" t="s">
        <v>40</v>
      </c>
      <c r="O34" s="489" t="s">
        <v>41</v>
      </c>
      <c r="P34" s="591" t="s">
        <v>42</v>
      </c>
      <c r="Q34" s="479" t="s">
        <v>43</v>
      </c>
      <c r="R34" s="504" t="s">
        <v>44</v>
      </c>
      <c r="S34" s="476" t="s">
        <v>45</v>
      </c>
    </row>
    <row r="35" spans="3:19" ht="18" customHeight="1">
      <c r="C35" s="479"/>
      <c r="D35" s="630"/>
      <c r="E35" s="496"/>
      <c r="F35" s="497"/>
      <c r="G35" s="498"/>
      <c r="H35" s="502"/>
      <c r="I35" s="505"/>
      <c r="J35" s="490"/>
      <c r="K35" s="490"/>
      <c r="L35" s="490"/>
      <c r="M35" s="490"/>
      <c r="N35" s="490"/>
      <c r="O35" s="490"/>
      <c r="P35" s="592"/>
      <c r="Q35" s="479"/>
      <c r="R35" s="505"/>
      <c r="S35" s="476"/>
    </row>
    <row r="36" spans="3:19" ht="18" customHeight="1">
      <c r="C36" s="479"/>
      <c r="D36" s="630"/>
      <c r="E36" s="496"/>
      <c r="F36" s="497"/>
      <c r="G36" s="498"/>
      <c r="H36" s="502"/>
      <c r="I36" s="505"/>
      <c r="J36" s="490"/>
      <c r="K36" s="490"/>
      <c r="L36" s="490"/>
      <c r="M36" s="490"/>
      <c r="N36" s="490"/>
      <c r="O36" s="490"/>
      <c r="P36" s="592"/>
      <c r="Q36" s="479"/>
      <c r="R36" s="505"/>
      <c r="S36" s="476"/>
    </row>
    <row r="37" spans="3:19" ht="18" customHeight="1">
      <c r="C37" s="479"/>
      <c r="D37" s="630"/>
      <c r="E37" s="496"/>
      <c r="F37" s="497"/>
      <c r="G37" s="498"/>
      <c r="H37" s="503"/>
      <c r="I37" s="505"/>
      <c r="J37" s="52" t="s">
        <v>46</v>
      </c>
      <c r="K37" s="52" t="s">
        <v>47</v>
      </c>
      <c r="L37" s="490"/>
      <c r="M37" s="490"/>
      <c r="N37" s="490"/>
      <c r="O37" s="490"/>
      <c r="P37" s="592"/>
      <c r="Q37" s="479"/>
      <c r="R37" s="505"/>
      <c r="S37" s="476"/>
    </row>
    <row r="38" spans="3:19" ht="6" customHeight="1">
      <c r="C38" s="479"/>
      <c r="D38" s="630"/>
      <c r="E38" s="496"/>
      <c r="F38" s="497"/>
      <c r="G38" s="498"/>
      <c r="H38" s="53"/>
      <c r="I38" s="54"/>
      <c r="J38" s="55"/>
      <c r="K38" s="55"/>
      <c r="L38" s="56"/>
      <c r="M38" s="56"/>
      <c r="N38" s="57"/>
      <c r="O38" s="57"/>
      <c r="P38" s="58"/>
      <c r="Q38" s="481"/>
      <c r="R38" s="505"/>
      <c r="S38" s="482"/>
    </row>
    <row r="39" spans="3:19" ht="18" customHeight="1" thickBot="1">
      <c r="C39" s="480"/>
      <c r="D39" s="631"/>
      <c r="E39" s="499"/>
      <c r="F39" s="500"/>
      <c r="G39" s="501"/>
      <c r="H39" s="59" t="s">
        <v>48</v>
      </c>
      <c r="I39" s="60" t="s">
        <v>49</v>
      </c>
      <c r="J39" s="61" t="s">
        <v>49</v>
      </c>
      <c r="K39" s="61" t="s">
        <v>49</v>
      </c>
      <c r="L39" s="61" t="s">
        <v>49</v>
      </c>
      <c r="M39" s="61" t="s">
        <v>49</v>
      </c>
      <c r="N39" s="61" t="s">
        <v>49</v>
      </c>
      <c r="O39" s="61" t="s">
        <v>49</v>
      </c>
      <c r="P39" s="62" t="s">
        <v>49</v>
      </c>
      <c r="Q39" s="63" t="s">
        <v>50</v>
      </c>
      <c r="R39" s="60" t="s">
        <v>51</v>
      </c>
      <c r="S39" s="64" t="s">
        <v>52</v>
      </c>
    </row>
    <row r="40" spans="3:19" ht="18" customHeight="1">
      <c r="C40" s="65"/>
      <c r="D40" s="449"/>
      <c r="E40" s="470"/>
      <c r="F40" s="471"/>
      <c r="G40" s="471"/>
      <c r="H40" s="66"/>
      <c r="I40" s="67"/>
      <c r="J40" s="68"/>
      <c r="K40" s="68"/>
      <c r="L40" s="68"/>
      <c r="M40" s="68"/>
      <c r="N40" s="68"/>
      <c r="O40" s="68"/>
      <c r="P40" s="69"/>
      <c r="Q40" s="70" t="str">
        <f t="shared" ref="Q40:Q49" si="0">IF(E40="","/",IF(SUM($H40:$P40)=0,"/",SUM($I40:$P40)+IF(VLOOKUP($E40,$E$126:$F$135,2,FALSE)="Oui",$H40,0)))</f>
        <v>/</v>
      </c>
      <c r="R40" s="71" t="str">
        <f t="shared" ref="R40:R49" si="1">IF(OR(SUM($H40:$P40)=0,$Q40="/"),"/",SUMPRODUCT($I40:$P40,$I$53:$P$53)+IF(VLOOKUP($E40,$E$126:$F$135,2,FALSE)="Oui",$H40,0))</f>
        <v>/</v>
      </c>
      <c r="S40" s="72" t="str">
        <f t="shared" ref="S40:S49" si="2">IF(OR($Q40="/",$Q40=0),"/",$R40/$Q40)</f>
        <v>/</v>
      </c>
    </row>
    <row r="41" spans="3:19" ht="18" customHeight="1">
      <c r="C41" s="73"/>
      <c r="D41" s="451"/>
      <c r="E41" s="470"/>
      <c r="F41" s="471"/>
      <c r="G41" s="471"/>
      <c r="H41" s="350"/>
      <c r="I41" s="74"/>
      <c r="J41" s="68"/>
      <c r="K41" s="75"/>
      <c r="L41" s="75"/>
      <c r="M41" s="75"/>
      <c r="N41" s="75"/>
      <c r="O41" s="75"/>
      <c r="P41" s="76"/>
      <c r="Q41" s="77" t="str">
        <f t="shared" si="0"/>
        <v>/</v>
      </c>
      <c r="R41" s="78" t="str">
        <f t="shared" si="1"/>
        <v>/</v>
      </c>
      <c r="S41" s="79" t="str">
        <f t="shared" si="2"/>
        <v>/</v>
      </c>
    </row>
    <row r="42" spans="3:19" ht="18" customHeight="1">
      <c r="C42" s="73"/>
      <c r="D42" s="451"/>
      <c r="E42" s="470"/>
      <c r="F42" s="471"/>
      <c r="G42" s="471"/>
      <c r="H42" s="350"/>
      <c r="I42" s="74"/>
      <c r="J42" s="68"/>
      <c r="K42" s="75"/>
      <c r="L42" s="75"/>
      <c r="M42" s="75"/>
      <c r="N42" s="75"/>
      <c r="O42" s="75"/>
      <c r="P42" s="76"/>
      <c r="Q42" s="77" t="str">
        <f t="shared" si="0"/>
        <v>/</v>
      </c>
      <c r="R42" s="78" t="str">
        <f t="shared" si="1"/>
        <v>/</v>
      </c>
      <c r="S42" s="79" t="str">
        <f t="shared" si="2"/>
        <v>/</v>
      </c>
    </row>
    <row r="43" spans="3:19" ht="18" customHeight="1">
      <c r="C43" s="73"/>
      <c r="D43" s="451"/>
      <c r="E43" s="470"/>
      <c r="F43" s="471"/>
      <c r="G43" s="471"/>
      <c r="H43" s="350"/>
      <c r="I43" s="74"/>
      <c r="J43" s="75"/>
      <c r="K43" s="75"/>
      <c r="L43" s="75"/>
      <c r="M43" s="75"/>
      <c r="N43" s="75"/>
      <c r="O43" s="75"/>
      <c r="P43" s="76"/>
      <c r="Q43" s="77" t="str">
        <f t="shared" si="0"/>
        <v>/</v>
      </c>
      <c r="R43" s="78" t="str">
        <f t="shared" si="1"/>
        <v>/</v>
      </c>
      <c r="S43" s="79" t="str">
        <f t="shared" si="2"/>
        <v>/</v>
      </c>
    </row>
    <row r="44" spans="3:19" ht="18" customHeight="1">
      <c r="C44" s="73"/>
      <c r="D44" s="451"/>
      <c r="E44" s="470"/>
      <c r="F44" s="471"/>
      <c r="G44" s="471"/>
      <c r="H44" s="350"/>
      <c r="I44" s="74"/>
      <c r="J44" s="75"/>
      <c r="K44" s="75"/>
      <c r="L44" s="75"/>
      <c r="M44" s="75"/>
      <c r="N44" s="75"/>
      <c r="O44" s="75"/>
      <c r="P44" s="76"/>
      <c r="Q44" s="77" t="str">
        <f t="shared" si="0"/>
        <v>/</v>
      </c>
      <c r="R44" s="78" t="str">
        <f t="shared" si="1"/>
        <v>/</v>
      </c>
      <c r="S44" s="79" t="str">
        <f t="shared" si="2"/>
        <v>/</v>
      </c>
    </row>
    <row r="45" spans="3:19" ht="18" customHeight="1">
      <c r="C45" s="73"/>
      <c r="D45" s="451"/>
      <c r="E45" s="470"/>
      <c r="F45" s="471"/>
      <c r="G45" s="471"/>
      <c r="H45" s="350"/>
      <c r="I45" s="74"/>
      <c r="J45" s="75"/>
      <c r="K45" s="75"/>
      <c r="L45" s="75"/>
      <c r="M45" s="75"/>
      <c r="N45" s="75"/>
      <c r="O45" s="75"/>
      <c r="P45" s="76"/>
      <c r="Q45" s="77" t="str">
        <f t="shared" si="0"/>
        <v>/</v>
      </c>
      <c r="R45" s="78" t="str">
        <f t="shared" si="1"/>
        <v>/</v>
      </c>
      <c r="S45" s="79" t="str">
        <f t="shared" si="2"/>
        <v>/</v>
      </c>
    </row>
    <row r="46" spans="3:19" ht="18" customHeight="1">
      <c r="C46" s="73"/>
      <c r="D46" s="451"/>
      <c r="E46" s="470"/>
      <c r="F46" s="471"/>
      <c r="G46" s="471"/>
      <c r="H46" s="350"/>
      <c r="I46" s="74"/>
      <c r="J46" s="75"/>
      <c r="K46" s="75"/>
      <c r="L46" s="75"/>
      <c r="M46" s="75"/>
      <c r="N46" s="75"/>
      <c r="O46" s="75"/>
      <c r="P46" s="76"/>
      <c r="Q46" s="77" t="str">
        <f t="shared" si="0"/>
        <v>/</v>
      </c>
      <c r="R46" s="78" t="str">
        <f t="shared" si="1"/>
        <v>/</v>
      </c>
      <c r="S46" s="79" t="str">
        <f t="shared" si="2"/>
        <v>/</v>
      </c>
    </row>
    <row r="47" spans="3:19" ht="18" customHeight="1">
      <c r="C47" s="73"/>
      <c r="D47" s="451"/>
      <c r="E47" s="470"/>
      <c r="F47" s="471"/>
      <c r="G47" s="471"/>
      <c r="H47" s="350"/>
      <c r="I47" s="74"/>
      <c r="J47" s="75"/>
      <c r="K47" s="75"/>
      <c r="L47" s="75"/>
      <c r="M47" s="75"/>
      <c r="N47" s="75"/>
      <c r="O47" s="75"/>
      <c r="P47" s="76"/>
      <c r="Q47" s="77" t="str">
        <f t="shared" si="0"/>
        <v>/</v>
      </c>
      <c r="R47" s="78" t="str">
        <f t="shared" si="1"/>
        <v>/</v>
      </c>
      <c r="S47" s="79" t="str">
        <f t="shared" si="2"/>
        <v>/</v>
      </c>
    </row>
    <row r="48" spans="3:19" ht="18" customHeight="1">
      <c r="C48" s="80"/>
      <c r="D48" s="451"/>
      <c r="E48" s="624"/>
      <c r="F48" s="625"/>
      <c r="G48" s="626"/>
      <c r="H48" s="350"/>
      <c r="I48" s="74"/>
      <c r="J48" s="75"/>
      <c r="K48" s="75"/>
      <c r="L48" s="75"/>
      <c r="M48" s="75"/>
      <c r="N48" s="75"/>
      <c r="O48" s="75"/>
      <c r="P48" s="76"/>
      <c r="Q48" s="77" t="str">
        <f t="shared" si="0"/>
        <v>/</v>
      </c>
      <c r="R48" s="78" t="str">
        <f t="shared" si="1"/>
        <v>/</v>
      </c>
      <c r="S48" s="79" t="str">
        <f t="shared" si="2"/>
        <v>/</v>
      </c>
    </row>
    <row r="49" spans="2:20" ht="18" customHeight="1" thickBot="1">
      <c r="C49" s="81"/>
      <c r="D49" s="452"/>
      <c r="E49" s="627"/>
      <c r="F49" s="628"/>
      <c r="G49" s="628"/>
      <c r="H49" s="351"/>
      <c r="I49" s="82"/>
      <c r="J49" s="83"/>
      <c r="K49" s="83"/>
      <c r="L49" s="83"/>
      <c r="M49" s="83"/>
      <c r="N49" s="83"/>
      <c r="O49" s="83"/>
      <c r="P49" s="84"/>
      <c r="Q49" s="85" t="str">
        <f t="shared" si="0"/>
        <v>/</v>
      </c>
      <c r="R49" s="86" t="str">
        <f t="shared" si="1"/>
        <v>/</v>
      </c>
      <c r="S49" s="87" t="str">
        <f t="shared" si="2"/>
        <v>/</v>
      </c>
    </row>
    <row r="50" spans="2:20" ht="18" customHeight="1" thickBot="1">
      <c r="C50" s="88" t="s">
        <v>53</v>
      </c>
      <c r="D50" s="352"/>
      <c r="E50" s="352"/>
      <c r="F50" s="352"/>
      <c r="G50" s="352"/>
      <c r="H50" s="90">
        <f t="shared" ref="H50:Q50" si="3">SUM(H40:H49)</f>
        <v>0</v>
      </c>
      <c r="I50" s="91">
        <f t="shared" si="3"/>
        <v>0</v>
      </c>
      <c r="J50" s="92">
        <f t="shared" si="3"/>
        <v>0</v>
      </c>
      <c r="K50" s="92">
        <f t="shared" si="3"/>
        <v>0</v>
      </c>
      <c r="L50" s="92">
        <f t="shared" si="3"/>
        <v>0</v>
      </c>
      <c r="M50" s="92">
        <f t="shared" si="3"/>
        <v>0</v>
      </c>
      <c r="N50" s="92">
        <f t="shared" si="3"/>
        <v>0</v>
      </c>
      <c r="O50" s="92">
        <f t="shared" si="3"/>
        <v>0</v>
      </c>
      <c r="P50" s="93">
        <f t="shared" si="3"/>
        <v>0</v>
      </c>
      <c r="Q50" s="94">
        <f t="shared" si="3"/>
        <v>0</v>
      </c>
      <c r="R50" s="95">
        <f>SUM(R40:R49)</f>
        <v>0</v>
      </c>
      <c r="S50" s="96" t="str">
        <f>IF($Q$50=0,"/",$R$50/$Q$50)</f>
        <v>/</v>
      </c>
    </row>
    <row r="51" spans="2:20" ht="18" customHeight="1" thickBot="1"/>
    <row r="52" spans="2:20" ht="18" customHeight="1">
      <c r="I52" s="97" t="s">
        <v>176</v>
      </c>
      <c r="J52" s="98"/>
      <c r="K52" s="98"/>
      <c r="L52" s="98"/>
      <c r="M52" s="98"/>
      <c r="N52" s="98"/>
      <c r="O52" s="98"/>
      <c r="P52" s="99"/>
      <c r="R52" s="34"/>
      <c r="S52" s="34"/>
    </row>
    <row r="53" spans="2:20" ht="18" customHeight="1" thickBot="1">
      <c r="I53" s="100">
        <v>0.2</v>
      </c>
      <c r="J53" s="101">
        <v>0.6</v>
      </c>
      <c r="K53" s="101">
        <v>0.8</v>
      </c>
      <c r="L53" s="101">
        <v>0.8</v>
      </c>
      <c r="M53" s="101">
        <v>1</v>
      </c>
      <c r="N53" s="101">
        <v>0</v>
      </c>
      <c r="O53" s="101">
        <v>0.7</v>
      </c>
      <c r="P53" s="102">
        <v>1</v>
      </c>
      <c r="R53" s="34"/>
      <c r="S53" s="103"/>
      <c r="T53" s="104"/>
    </row>
    <row r="54" spans="2:20" ht="18" customHeight="1">
      <c r="T54" s="104"/>
    </row>
    <row r="55" spans="2:20" ht="18" customHeight="1">
      <c r="S55" s="104"/>
    </row>
    <row r="56" spans="2:20" ht="18" customHeight="1">
      <c r="S56" s="104"/>
    </row>
    <row r="57" spans="2:20" ht="18" customHeight="1">
      <c r="B57" s="353">
        <v>3</v>
      </c>
      <c r="C57" s="447" t="s">
        <v>177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</row>
    <row r="58" spans="2:20" ht="7.5" customHeight="1"/>
    <row r="59" spans="2:20" ht="18" customHeight="1">
      <c r="C59" s="469" t="s">
        <v>26</v>
      </c>
      <c r="D59" s="39" t="s">
        <v>178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2:20" ht="18" customHeight="1">
      <c r="C60" s="469"/>
      <c r="D60" s="39" t="s">
        <v>179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2:20" ht="27" customHeight="1" thickBot="1"/>
    <row r="62" spans="2:20" ht="18" customHeight="1" thickBot="1">
      <c r="D62" s="29" t="s">
        <v>180</v>
      </c>
      <c r="E62" s="106"/>
      <c r="F62" s="108">
        <v>10</v>
      </c>
    </row>
    <row r="63" spans="2:20" ht="18" customHeight="1" thickBot="1">
      <c r="R63" s="13"/>
    </row>
    <row r="64" spans="2:20" ht="18" customHeight="1">
      <c r="C64" s="621" t="s">
        <v>174</v>
      </c>
      <c r="D64" s="354" t="s">
        <v>181</v>
      </c>
      <c r="E64" s="355"/>
      <c r="F64" s="109"/>
      <c r="G64" s="111"/>
      <c r="H64" s="110" t="s">
        <v>182</v>
      </c>
      <c r="I64" s="109"/>
      <c r="J64" s="109"/>
      <c r="K64" s="111"/>
      <c r="L64" s="354" t="s">
        <v>183</v>
      </c>
      <c r="M64" s="356"/>
      <c r="N64" s="356"/>
      <c r="O64" s="357"/>
      <c r="P64" s="358" t="s">
        <v>175</v>
      </c>
      <c r="Q64" s="359"/>
      <c r="R64" s="360"/>
      <c r="S64" s="361"/>
    </row>
    <row r="65" spans="3:18" s="34" customFormat="1" ht="18" customHeight="1">
      <c r="C65" s="622"/>
      <c r="D65" s="519" t="s">
        <v>184</v>
      </c>
      <c r="E65" s="520"/>
      <c r="F65" s="490" t="s">
        <v>185</v>
      </c>
      <c r="G65" s="593" t="s">
        <v>186</v>
      </c>
      <c r="H65" s="523" t="s">
        <v>187</v>
      </c>
      <c r="I65" s="490" t="s">
        <v>188</v>
      </c>
      <c r="J65" s="490" t="s">
        <v>189</v>
      </c>
      <c r="L65" s="523" t="s">
        <v>190</v>
      </c>
      <c r="M65" s="490" t="s">
        <v>191</v>
      </c>
      <c r="N65" s="490" t="s">
        <v>192</v>
      </c>
      <c r="O65" s="593" t="s">
        <v>193</v>
      </c>
      <c r="P65" s="481" t="s">
        <v>194</v>
      </c>
      <c r="Q65" s="612" t="s">
        <v>195</v>
      </c>
      <c r="R65" s="593" t="s">
        <v>196</v>
      </c>
    </row>
    <row r="66" spans="3:18" s="34" customFormat="1" ht="18" customHeight="1">
      <c r="C66" s="622"/>
      <c r="D66" s="519"/>
      <c r="E66" s="520"/>
      <c r="F66" s="490"/>
      <c r="G66" s="593"/>
      <c r="H66" s="523"/>
      <c r="I66" s="490"/>
      <c r="J66" s="490"/>
      <c r="K66" s="601" t="s">
        <v>197</v>
      </c>
      <c r="L66" s="523"/>
      <c r="M66" s="490"/>
      <c r="N66" s="490"/>
      <c r="O66" s="593"/>
      <c r="P66" s="523"/>
      <c r="Q66" s="613"/>
      <c r="R66" s="593"/>
    </row>
    <row r="67" spans="3:18" s="34" customFormat="1" ht="18" customHeight="1">
      <c r="C67" s="622"/>
      <c r="D67" s="519"/>
      <c r="E67" s="520"/>
      <c r="F67" s="490"/>
      <c r="G67" s="593"/>
      <c r="H67" s="523"/>
      <c r="I67" s="490"/>
      <c r="J67" s="490"/>
      <c r="K67" s="601"/>
      <c r="L67" s="523"/>
      <c r="M67" s="490"/>
      <c r="N67" s="490"/>
      <c r="O67" s="593"/>
      <c r="P67" s="523"/>
      <c r="Q67" s="613"/>
      <c r="R67" s="593"/>
    </row>
    <row r="68" spans="3:18" s="34" customFormat="1" ht="18" customHeight="1">
      <c r="C68" s="622"/>
      <c r="D68" s="519"/>
      <c r="E68" s="520"/>
      <c r="F68" s="490"/>
      <c r="G68" s="593"/>
      <c r="H68" s="523"/>
      <c r="I68" s="490"/>
      <c r="J68" s="490"/>
      <c r="K68" s="601"/>
      <c r="L68" s="523"/>
      <c r="M68" s="490"/>
      <c r="N68" s="490"/>
      <c r="O68" s="593"/>
      <c r="P68" s="523"/>
      <c r="Q68" s="613"/>
      <c r="R68" s="593"/>
    </row>
    <row r="69" spans="3:18" s="34" customFormat="1" ht="18" customHeight="1">
      <c r="C69" s="622"/>
      <c r="D69" s="519"/>
      <c r="E69" s="520"/>
      <c r="F69" s="490"/>
      <c r="G69" s="593"/>
      <c r="H69" s="523"/>
      <c r="I69" s="490"/>
      <c r="J69" s="490"/>
      <c r="K69" s="362" t="str">
        <f>IF(MAX(K71:K80)&gt;100,"i","")</f>
        <v/>
      </c>
      <c r="L69" s="523"/>
      <c r="M69" s="490"/>
      <c r="N69" s="490"/>
      <c r="O69" s="593"/>
      <c r="P69" s="523"/>
      <c r="Q69" s="613"/>
      <c r="R69" s="593"/>
    </row>
    <row r="70" spans="3:18" s="34" customFormat="1" ht="18" customHeight="1" thickBot="1">
      <c r="C70" s="623"/>
      <c r="D70" s="521"/>
      <c r="E70" s="522"/>
      <c r="F70" s="61" t="s">
        <v>198</v>
      </c>
      <c r="G70" s="64" t="s">
        <v>78</v>
      </c>
      <c r="H70" s="63" t="s">
        <v>199</v>
      </c>
      <c r="I70" s="60" t="s">
        <v>200</v>
      </c>
      <c r="J70" s="60" t="s">
        <v>201</v>
      </c>
      <c r="K70" s="363" t="s">
        <v>202</v>
      </c>
      <c r="L70" s="63" t="s">
        <v>203</v>
      </c>
      <c r="M70" s="61" t="s">
        <v>76</v>
      </c>
      <c r="N70" s="61" t="s">
        <v>204</v>
      </c>
      <c r="O70" s="64" t="s">
        <v>205</v>
      </c>
      <c r="P70" s="61" t="s">
        <v>206</v>
      </c>
      <c r="Q70" s="614"/>
      <c r="R70" s="59" t="s">
        <v>83</v>
      </c>
    </row>
    <row r="71" spans="3:18" s="34" customFormat="1" ht="18" customHeight="1">
      <c r="C71" s="364" t="str">
        <f t="shared" ref="C71:C80" si="4">IF($C40="","",$C40)</f>
        <v/>
      </c>
      <c r="D71" s="470"/>
      <c r="E71" s="471"/>
      <c r="F71" s="365" t="str">
        <f t="shared" ref="F71:F80" si="5">IF(OR($D71=$C$132,$D71=$C$134),IF($H40=0,"?",$H40),"")</f>
        <v/>
      </c>
      <c r="G71" s="366"/>
      <c r="H71" s="367" t="str">
        <f t="shared" ref="H71:H80" si="6">IF(OR($Q40="/",$E40=$E$129,$D71=""),"/",IF(OR($F71="?",AND($G71=0,OR($D71=$C$132,$D71=$C$134))),"?",IF(OR($D71=$C$132,D71=$C$134),$F71*$G71*1000,0)))</f>
        <v>/</v>
      </c>
      <c r="I71" s="368" t="str">
        <f t="shared" ref="I71:I80" si="7">IF(OR($Q40="/",$E40=$E$129,$D71=""),"/",IF(OR($D71=$C$133,$D71=$C$134),$Q40*$F$62/10000,0))</f>
        <v>/</v>
      </c>
      <c r="J71" s="368" t="str">
        <f t="shared" ref="J71:J80" si="8">IF(OR($Q40="/",$E40=$E$129,$D71=""),"/",IF(OR($H71="?",$I71="?"),"?",$H71+$I71))</f>
        <v>/</v>
      </c>
      <c r="K71" s="369" t="str">
        <f t="shared" ref="K71:K80" si="9">IF(OR($Q40="/",$Q40=0,$E40=$E$129,$D71=""),"/",IF($J71="?","?",$J71/($R40/10000)))</f>
        <v>/</v>
      </c>
      <c r="L71" s="370" t="str">
        <f>IF($K71="/","/",IF($K71="?","?",IF($K71&lt;5,480-13.5*$K71,IF($K71&lt;40,544.5*($K71^(-0.173)),IF($K71&lt;=100,359.5-1.8*$K71,180)))))</f>
        <v>/</v>
      </c>
      <c r="M71" s="371" t="str">
        <f t="shared" ref="M71:M80" si="10">IF($L71="/","/",IF($L71="?","?",$L71*($R40/10000)))</f>
        <v>/</v>
      </c>
      <c r="N71" s="129" t="str">
        <f t="shared" ref="N71:N80" si="11">IF($M71="/","/",IF($M71="?","?",IF($H40=0,"?",($M71/$H40)*100)))</f>
        <v>/</v>
      </c>
      <c r="O71" s="369" t="str">
        <f>IF($M71="/","/",IF($M71="?","?",$M71/($J71*3600/1000)))</f>
        <v>/</v>
      </c>
      <c r="P71" s="372"/>
      <c r="Q71" s="373" t="str">
        <f>IF($M71="/","/",IF(OR($P71="",$M71="?"),"?",MIN($P71/$M71,1)))</f>
        <v>/</v>
      </c>
      <c r="R71" s="374" t="str">
        <f>IF($M71="/","/",IF(M71="?","?",MAX($M71-$P71,0)))</f>
        <v>/</v>
      </c>
    </row>
    <row r="72" spans="3:18" s="34" customFormat="1" ht="18" customHeight="1">
      <c r="C72" s="375" t="str">
        <f t="shared" si="4"/>
        <v/>
      </c>
      <c r="D72" s="470"/>
      <c r="E72" s="471"/>
      <c r="F72" s="365" t="str">
        <f t="shared" si="5"/>
        <v/>
      </c>
      <c r="G72" s="366"/>
      <c r="H72" s="367" t="str">
        <f t="shared" si="6"/>
        <v>/</v>
      </c>
      <c r="I72" s="368" t="str">
        <f t="shared" si="7"/>
        <v>/</v>
      </c>
      <c r="J72" s="376" t="str">
        <f t="shared" si="8"/>
        <v>/</v>
      </c>
      <c r="K72" s="377" t="str">
        <f t="shared" si="9"/>
        <v>/</v>
      </c>
      <c r="L72" s="370" t="str">
        <f t="shared" ref="L72:L80" si="12">IF($K72="/","/",IF($K72="?","?",IF($K72&lt;5,480-13.5*$K72,IF($K72&lt;40,544.5*($K72^(-0.173)),IF($K72&lt;=100,359.5-1.8*$K72,180)))))</f>
        <v>/</v>
      </c>
      <c r="M72" s="378" t="str">
        <f t="shared" si="10"/>
        <v>/</v>
      </c>
      <c r="N72" s="129" t="str">
        <f t="shared" si="11"/>
        <v>/</v>
      </c>
      <c r="O72" s="377" t="str">
        <f t="shared" ref="O72:O80" si="13">IF($M72="/","/",IF($M72="?","?",$M72/($J72*3600/1000)))</f>
        <v>/</v>
      </c>
      <c r="P72" s="379"/>
      <c r="Q72" s="380" t="str">
        <f t="shared" ref="Q72:Q80" si="14">IF($M72="/","/",IF(OR($P72="",$M72="?"),"?",MIN($P72/$M72,1)))</f>
        <v>/</v>
      </c>
      <c r="R72" s="381" t="str">
        <f t="shared" ref="R72:R80" si="15">IF($M72="/","/",IF(M72="?","?",MAX($M72-$P72,0)))</f>
        <v>/</v>
      </c>
    </row>
    <row r="73" spans="3:18" s="34" customFormat="1" ht="18" customHeight="1">
      <c r="C73" s="375" t="str">
        <f t="shared" si="4"/>
        <v/>
      </c>
      <c r="D73" s="470"/>
      <c r="E73" s="471"/>
      <c r="F73" s="365" t="str">
        <f t="shared" si="5"/>
        <v/>
      </c>
      <c r="G73" s="366"/>
      <c r="H73" s="367" t="str">
        <f t="shared" si="6"/>
        <v>/</v>
      </c>
      <c r="I73" s="368" t="str">
        <f t="shared" si="7"/>
        <v>/</v>
      </c>
      <c r="J73" s="376" t="str">
        <f t="shared" si="8"/>
        <v>/</v>
      </c>
      <c r="K73" s="377" t="str">
        <f t="shared" si="9"/>
        <v>/</v>
      </c>
      <c r="L73" s="370" t="str">
        <f t="shared" si="12"/>
        <v>/</v>
      </c>
      <c r="M73" s="378" t="str">
        <f t="shared" si="10"/>
        <v>/</v>
      </c>
      <c r="N73" s="129" t="str">
        <f t="shared" si="11"/>
        <v>/</v>
      </c>
      <c r="O73" s="377" t="str">
        <f t="shared" si="13"/>
        <v>/</v>
      </c>
      <c r="P73" s="379"/>
      <c r="Q73" s="380" t="str">
        <f t="shared" si="14"/>
        <v>/</v>
      </c>
      <c r="R73" s="381" t="str">
        <f t="shared" si="15"/>
        <v>/</v>
      </c>
    </row>
    <row r="74" spans="3:18" s="34" customFormat="1" ht="18" customHeight="1">
      <c r="C74" s="375" t="str">
        <f t="shared" si="4"/>
        <v/>
      </c>
      <c r="D74" s="470"/>
      <c r="E74" s="471"/>
      <c r="F74" s="365" t="str">
        <f t="shared" si="5"/>
        <v/>
      </c>
      <c r="G74" s="382"/>
      <c r="H74" s="367" t="str">
        <f t="shared" si="6"/>
        <v>/</v>
      </c>
      <c r="I74" s="368" t="str">
        <f t="shared" si="7"/>
        <v>/</v>
      </c>
      <c r="J74" s="376" t="str">
        <f t="shared" si="8"/>
        <v>/</v>
      </c>
      <c r="K74" s="377" t="str">
        <f t="shared" si="9"/>
        <v>/</v>
      </c>
      <c r="L74" s="370" t="str">
        <f t="shared" si="12"/>
        <v>/</v>
      </c>
      <c r="M74" s="378" t="str">
        <f t="shared" si="10"/>
        <v>/</v>
      </c>
      <c r="N74" s="129" t="str">
        <f t="shared" si="11"/>
        <v>/</v>
      </c>
      <c r="O74" s="377" t="str">
        <f t="shared" si="13"/>
        <v>/</v>
      </c>
      <c r="P74" s="379"/>
      <c r="Q74" s="380" t="str">
        <f t="shared" si="14"/>
        <v>/</v>
      </c>
      <c r="R74" s="381" t="str">
        <f t="shared" si="15"/>
        <v>/</v>
      </c>
    </row>
    <row r="75" spans="3:18" s="34" customFormat="1" ht="18" customHeight="1">
      <c r="C75" s="375" t="str">
        <f t="shared" si="4"/>
        <v/>
      </c>
      <c r="D75" s="470"/>
      <c r="E75" s="471"/>
      <c r="F75" s="365" t="str">
        <f t="shared" si="5"/>
        <v/>
      </c>
      <c r="G75" s="382"/>
      <c r="H75" s="367" t="str">
        <f t="shared" si="6"/>
        <v>/</v>
      </c>
      <c r="I75" s="368" t="str">
        <f t="shared" si="7"/>
        <v>/</v>
      </c>
      <c r="J75" s="376" t="str">
        <f t="shared" si="8"/>
        <v>/</v>
      </c>
      <c r="K75" s="377" t="str">
        <f t="shared" si="9"/>
        <v>/</v>
      </c>
      <c r="L75" s="370" t="str">
        <f t="shared" si="12"/>
        <v>/</v>
      </c>
      <c r="M75" s="378" t="str">
        <f t="shared" si="10"/>
        <v>/</v>
      </c>
      <c r="N75" s="129" t="str">
        <f t="shared" si="11"/>
        <v>/</v>
      </c>
      <c r="O75" s="377" t="str">
        <f t="shared" si="13"/>
        <v>/</v>
      </c>
      <c r="P75" s="379"/>
      <c r="Q75" s="380" t="str">
        <f t="shared" si="14"/>
        <v>/</v>
      </c>
      <c r="R75" s="381" t="str">
        <f t="shared" si="15"/>
        <v>/</v>
      </c>
    </row>
    <row r="76" spans="3:18" s="34" customFormat="1" ht="18" customHeight="1">
      <c r="C76" s="375" t="str">
        <f t="shared" si="4"/>
        <v/>
      </c>
      <c r="D76" s="470"/>
      <c r="E76" s="471"/>
      <c r="F76" s="365" t="str">
        <f t="shared" si="5"/>
        <v/>
      </c>
      <c r="G76" s="382"/>
      <c r="H76" s="367" t="str">
        <f t="shared" si="6"/>
        <v>/</v>
      </c>
      <c r="I76" s="368" t="str">
        <f t="shared" si="7"/>
        <v>/</v>
      </c>
      <c r="J76" s="376" t="str">
        <f t="shared" si="8"/>
        <v>/</v>
      </c>
      <c r="K76" s="377" t="str">
        <f t="shared" si="9"/>
        <v>/</v>
      </c>
      <c r="L76" s="370" t="str">
        <f t="shared" si="12"/>
        <v>/</v>
      </c>
      <c r="M76" s="378" t="str">
        <f t="shared" si="10"/>
        <v>/</v>
      </c>
      <c r="N76" s="129" t="str">
        <f t="shared" si="11"/>
        <v>/</v>
      </c>
      <c r="O76" s="377" t="str">
        <f t="shared" si="13"/>
        <v>/</v>
      </c>
      <c r="P76" s="379"/>
      <c r="Q76" s="380" t="str">
        <f t="shared" si="14"/>
        <v>/</v>
      </c>
      <c r="R76" s="381" t="str">
        <f t="shared" si="15"/>
        <v>/</v>
      </c>
    </row>
    <row r="77" spans="3:18" s="34" customFormat="1" ht="18" customHeight="1">
      <c r="C77" s="375" t="str">
        <f t="shared" si="4"/>
        <v/>
      </c>
      <c r="D77" s="470"/>
      <c r="E77" s="471"/>
      <c r="F77" s="365" t="str">
        <f t="shared" si="5"/>
        <v/>
      </c>
      <c r="G77" s="382"/>
      <c r="H77" s="367" t="str">
        <f t="shared" si="6"/>
        <v>/</v>
      </c>
      <c r="I77" s="368" t="str">
        <f t="shared" si="7"/>
        <v>/</v>
      </c>
      <c r="J77" s="376" t="str">
        <f t="shared" si="8"/>
        <v>/</v>
      </c>
      <c r="K77" s="377" t="str">
        <f t="shared" si="9"/>
        <v>/</v>
      </c>
      <c r="L77" s="370" t="str">
        <f t="shared" si="12"/>
        <v>/</v>
      </c>
      <c r="M77" s="378" t="str">
        <f t="shared" si="10"/>
        <v>/</v>
      </c>
      <c r="N77" s="129" t="str">
        <f t="shared" si="11"/>
        <v>/</v>
      </c>
      <c r="O77" s="377" t="str">
        <f t="shared" si="13"/>
        <v>/</v>
      </c>
      <c r="P77" s="379"/>
      <c r="Q77" s="380" t="str">
        <f t="shared" si="14"/>
        <v>/</v>
      </c>
      <c r="R77" s="381" t="str">
        <f t="shared" si="15"/>
        <v>/</v>
      </c>
    </row>
    <row r="78" spans="3:18" s="34" customFormat="1" ht="18" customHeight="1">
      <c r="C78" s="375" t="str">
        <f t="shared" si="4"/>
        <v/>
      </c>
      <c r="D78" s="470"/>
      <c r="E78" s="471"/>
      <c r="F78" s="365" t="str">
        <f t="shared" si="5"/>
        <v/>
      </c>
      <c r="G78" s="382"/>
      <c r="H78" s="367" t="str">
        <f t="shared" si="6"/>
        <v>/</v>
      </c>
      <c r="I78" s="368" t="str">
        <f t="shared" si="7"/>
        <v>/</v>
      </c>
      <c r="J78" s="376" t="str">
        <f t="shared" si="8"/>
        <v>/</v>
      </c>
      <c r="K78" s="377" t="str">
        <f t="shared" si="9"/>
        <v>/</v>
      </c>
      <c r="L78" s="370" t="str">
        <f t="shared" si="12"/>
        <v>/</v>
      </c>
      <c r="M78" s="378" t="str">
        <f t="shared" si="10"/>
        <v>/</v>
      </c>
      <c r="N78" s="129" t="str">
        <f t="shared" si="11"/>
        <v>/</v>
      </c>
      <c r="O78" s="377" t="str">
        <f t="shared" si="13"/>
        <v>/</v>
      </c>
      <c r="P78" s="379"/>
      <c r="Q78" s="380" t="str">
        <f t="shared" si="14"/>
        <v>/</v>
      </c>
      <c r="R78" s="381" t="str">
        <f t="shared" si="15"/>
        <v>/</v>
      </c>
    </row>
    <row r="79" spans="3:18" s="34" customFormat="1" ht="18" customHeight="1">
      <c r="C79" s="375" t="str">
        <f t="shared" si="4"/>
        <v/>
      </c>
      <c r="D79" s="619"/>
      <c r="E79" s="620"/>
      <c r="F79" s="365" t="str">
        <f t="shared" si="5"/>
        <v/>
      </c>
      <c r="G79" s="382"/>
      <c r="H79" s="367" t="str">
        <f t="shared" si="6"/>
        <v>/</v>
      </c>
      <c r="I79" s="368" t="str">
        <f t="shared" si="7"/>
        <v>/</v>
      </c>
      <c r="J79" s="376" t="str">
        <f t="shared" si="8"/>
        <v>/</v>
      </c>
      <c r="K79" s="377" t="str">
        <f t="shared" si="9"/>
        <v>/</v>
      </c>
      <c r="L79" s="370" t="str">
        <f t="shared" si="12"/>
        <v>/</v>
      </c>
      <c r="M79" s="378" t="str">
        <f t="shared" si="10"/>
        <v>/</v>
      </c>
      <c r="N79" s="129" t="str">
        <f t="shared" si="11"/>
        <v>/</v>
      </c>
      <c r="O79" s="377" t="str">
        <f t="shared" si="13"/>
        <v>/</v>
      </c>
      <c r="P79" s="379"/>
      <c r="Q79" s="380" t="str">
        <f t="shared" si="14"/>
        <v>/</v>
      </c>
      <c r="R79" s="381" t="str">
        <f t="shared" si="15"/>
        <v>/</v>
      </c>
    </row>
    <row r="80" spans="3:18" s="34" customFormat="1" ht="18" customHeight="1" thickBot="1">
      <c r="C80" s="383" t="str">
        <f t="shared" si="4"/>
        <v/>
      </c>
      <c r="D80" s="615"/>
      <c r="E80" s="616"/>
      <c r="F80" s="365" t="str">
        <f t="shared" si="5"/>
        <v/>
      </c>
      <c r="G80" s="384"/>
      <c r="H80" s="367" t="str">
        <f t="shared" si="6"/>
        <v>/</v>
      </c>
      <c r="I80" s="368" t="str">
        <f t="shared" si="7"/>
        <v>/</v>
      </c>
      <c r="J80" s="385" t="str">
        <f t="shared" si="8"/>
        <v>/</v>
      </c>
      <c r="K80" s="386" t="str">
        <f t="shared" si="9"/>
        <v>/</v>
      </c>
      <c r="L80" s="387" t="str">
        <f t="shared" si="12"/>
        <v>/</v>
      </c>
      <c r="M80" s="388" t="str">
        <f t="shared" si="10"/>
        <v>/</v>
      </c>
      <c r="N80" s="129" t="str">
        <f t="shared" si="11"/>
        <v>/</v>
      </c>
      <c r="O80" s="386" t="str">
        <f t="shared" si="13"/>
        <v>/</v>
      </c>
      <c r="P80" s="389"/>
      <c r="Q80" s="144" t="str">
        <f t="shared" si="14"/>
        <v>/</v>
      </c>
      <c r="R80" s="390" t="str">
        <f t="shared" si="15"/>
        <v>/</v>
      </c>
    </row>
    <row r="81" spans="2:19" s="34" customFormat="1" ht="18" customHeight="1" thickBot="1">
      <c r="C81" s="391" t="s">
        <v>53</v>
      </c>
      <c r="D81" s="617" t="s">
        <v>84</v>
      </c>
      <c r="E81" s="618"/>
      <c r="F81" s="392">
        <f>SUM(F71:F80)</f>
        <v>0</v>
      </c>
      <c r="G81" s="393" t="s">
        <v>84</v>
      </c>
      <c r="H81" s="394">
        <f>SUM(H71:H80)</f>
        <v>0</v>
      </c>
      <c r="I81" s="395">
        <f>SUM(I71:I80)</f>
        <v>0</v>
      </c>
      <c r="J81" s="395">
        <f>SUM(J71:J80)</f>
        <v>0</v>
      </c>
      <c r="K81" s="393" t="s">
        <v>84</v>
      </c>
      <c r="L81" s="396" t="s">
        <v>84</v>
      </c>
      <c r="M81" s="397">
        <f>SUM(M71:M80)</f>
        <v>0</v>
      </c>
      <c r="N81" s="398" t="s">
        <v>84</v>
      </c>
      <c r="O81" s="393" t="s">
        <v>84</v>
      </c>
      <c r="P81" s="399">
        <f>SUM(P71:P80)</f>
        <v>0</v>
      </c>
      <c r="Q81" s="400" t="s">
        <v>84</v>
      </c>
      <c r="R81" s="401">
        <f>SUM(R71:R80)</f>
        <v>0</v>
      </c>
      <c r="S81" s="116"/>
    </row>
    <row r="83" spans="2:19" ht="18" customHeight="1">
      <c r="C83" s="402" t="s">
        <v>26</v>
      </c>
      <c r="D83" s="158" t="str">
        <f>IF(MAX($K$71:$K$80)&gt;100,"Lorsque le débit spécifique est supérieur à 100 L/s/ha actif, un volume de 180 m³/ha actif est appliqué par défaut dans le présent tableur.","")</f>
        <v/>
      </c>
      <c r="E83" s="5"/>
      <c r="F83" s="5"/>
      <c r="G83" s="5"/>
      <c r="H83" s="5"/>
      <c r="I83" s="5"/>
      <c r="J83" s="5"/>
      <c r="K83" s="5"/>
      <c r="L83" s="5"/>
      <c r="M83" s="5"/>
    </row>
    <row r="84" spans="2:19" ht="18" customHeight="1">
      <c r="C84" s="403"/>
    </row>
    <row r="85" spans="2:19" ht="18" customHeight="1">
      <c r="B85" s="346">
        <v>4</v>
      </c>
      <c r="C85" s="448" t="s">
        <v>207</v>
      </c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</row>
    <row r="86" spans="2:19" ht="18" customHeight="1" thickBot="1"/>
    <row r="87" spans="2:19" ht="18" customHeight="1" thickBot="1">
      <c r="C87" s="458" t="s">
        <v>20</v>
      </c>
      <c r="D87" s="459"/>
      <c r="E87" s="459"/>
      <c r="F87" s="459"/>
      <c r="G87" s="177" t="str">
        <f>IF($F$23=0,"?",$F$23)</f>
        <v>?</v>
      </c>
      <c r="H87" s="453" t="str">
        <f>IF($F$23="","⚠️","")</f>
        <v>⚠️</v>
      </c>
      <c r="I87" s="461" t="s">
        <v>98</v>
      </c>
      <c r="J87" s="456"/>
      <c r="K87" s="456"/>
      <c r="L87" s="456"/>
      <c r="M87" s="456"/>
      <c r="N87" s="456"/>
      <c r="O87" s="456"/>
      <c r="P87" s="456"/>
      <c r="Q87" s="456"/>
      <c r="R87" s="456"/>
      <c r="S87" s="456"/>
    </row>
    <row r="89" spans="2:19" ht="18" customHeight="1" thickBot="1"/>
    <row r="90" spans="2:19" ht="18" customHeight="1" thickBot="1">
      <c r="C90" s="9" t="s">
        <v>99</v>
      </c>
      <c r="D90" s="22"/>
      <c r="E90" s="22"/>
      <c r="F90" s="22"/>
      <c r="G90" s="22"/>
      <c r="I90" s="9" t="s">
        <v>208</v>
      </c>
      <c r="M90" s="472" t="s">
        <v>209</v>
      </c>
      <c r="N90" s="472" t="s">
        <v>210</v>
      </c>
    </row>
    <row r="91" spans="2:19" ht="18" customHeight="1" thickBot="1">
      <c r="D91" s="22"/>
      <c r="E91" s="22"/>
      <c r="F91" s="22"/>
      <c r="G91" s="182" t="s">
        <v>49</v>
      </c>
      <c r="M91" s="474"/>
      <c r="N91" s="474"/>
    </row>
    <row r="92" spans="2:19" ht="18" customHeight="1" thickTop="1">
      <c r="C92" s="185" t="s">
        <v>102</v>
      </c>
      <c r="D92" s="186"/>
      <c r="E92" s="186"/>
      <c r="F92" s="187"/>
      <c r="G92" s="188">
        <f>$I$50</f>
        <v>0</v>
      </c>
      <c r="I92" s="404" t="s">
        <v>211</v>
      </c>
      <c r="J92" s="405"/>
      <c r="K92" s="405"/>
      <c r="L92" s="405"/>
      <c r="M92" s="406"/>
      <c r="N92" s="407"/>
      <c r="P92" s="578" t="s">
        <v>212</v>
      </c>
      <c r="Q92" s="579"/>
      <c r="R92" s="609"/>
      <c r="S92" s="602" t="str">
        <f>$N$95</f>
        <v>?</v>
      </c>
    </row>
    <row r="93" spans="2:19" ht="18" customHeight="1">
      <c r="C93" s="594" t="s">
        <v>213</v>
      </c>
      <c r="D93" s="595"/>
      <c r="E93" s="595"/>
      <c r="F93" s="596"/>
      <c r="G93" s="606">
        <f>SUM($J$50:$K$50)</f>
        <v>0</v>
      </c>
      <c r="I93" s="408" t="s">
        <v>214</v>
      </c>
      <c r="J93" s="409"/>
      <c r="K93" s="203"/>
      <c r="L93" s="212"/>
      <c r="M93" s="410">
        <f>SUMIF($Q$71:$Q$80,"&gt;0,99",$Q$40:$Q$49)</f>
        <v>0</v>
      </c>
      <c r="N93" s="199" t="str">
        <f>IF($G$87="?","?",$M93/$G$87)</f>
        <v>?</v>
      </c>
      <c r="P93" s="581"/>
      <c r="Q93" s="582"/>
      <c r="R93" s="610"/>
      <c r="S93" s="603"/>
    </row>
    <row r="94" spans="2:19" ht="18" customHeight="1">
      <c r="C94" s="597"/>
      <c r="D94" s="598"/>
      <c r="E94" s="598"/>
      <c r="F94" s="599"/>
      <c r="G94" s="607"/>
      <c r="I94" s="408" t="s">
        <v>215</v>
      </c>
      <c r="J94" s="203"/>
      <c r="K94" s="203"/>
      <c r="L94" s="212"/>
      <c r="M94" s="411">
        <f>M95-M93</f>
        <v>0</v>
      </c>
      <c r="N94" s="199" t="str">
        <f>IF($G$87="?","?",$M94/$G$87)</f>
        <v>?</v>
      </c>
      <c r="P94" s="581"/>
      <c r="Q94" s="582"/>
      <c r="R94" s="610"/>
      <c r="S94" s="603"/>
    </row>
    <row r="95" spans="2:19" ht="18" customHeight="1" thickBot="1">
      <c r="C95" s="167" t="s">
        <v>106</v>
      </c>
      <c r="D95" s="168"/>
      <c r="E95" s="168"/>
      <c r="F95" s="205"/>
      <c r="G95" s="206">
        <f>$N$50</f>
        <v>0</v>
      </c>
      <c r="I95" s="412" t="s">
        <v>116</v>
      </c>
      <c r="J95" s="413"/>
      <c r="K95" s="413"/>
      <c r="L95" s="414"/>
      <c r="M95" s="415">
        <f>SUMPRODUCT($Q$71:$Q$80,$Q$40:$Q$49)</f>
        <v>0</v>
      </c>
      <c r="N95" s="416" t="str">
        <f>IF($G$87="?","?",SUM(N93:N94))</f>
        <v>?</v>
      </c>
      <c r="P95" s="581"/>
      <c r="Q95" s="582"/>
      <c r="R95" s="610"/>
      <c r="S95" s="603"/>
    </row>
    <row r="96" spans="2:19" ht="18" customHeight="1" thickBot="1">
      <c r="C96" s="211" t="s">
        <v>108</v>
      </c>
      <c r="D96" s="203"/>
      <c r="E96" s="203"/>
      <c r="F96" s="212"/>
      <c r="G96" s="206">
        <f>$O$50</f>
        <v>0</v>
      </c>
      <c r="I96" s="417" t="s">
        <v>216</v>
      </c>
      <c r="J96" s="418"/>
      <c r="K96" s="418"/>
      <c r="L96" s="418"/>
      <c r="M96" s="419"/>
      <c r="N96" s="349"/>
      <c r="P96" s="584"/>
      <c r="Q96" s="585"/>
      <c r="R96" s="611"/>
      <c r="S96" s="604"/>
    </row>
    <row r="97" spans="3:16" ht="18" customHeight="1" thickTop="1">
      <c r="C97" s="563" t="s">
        <v>110</v>
      </c>
      <c r="D97" s="564"/>
      <c r="E97" s="564"/>
      <c r="F97" s="571"/>
      <c r="G97" s="605">
        <f ca="1">$L$50-SUMIF($E$40:$G$49,$E$129,$L$40:$L$49)+$M$50-SUMIF($E$40:$G$49,$E$129,$M$40:$M$49)+$P$50-SUMIF($E$40:$G$49,$E$129,$P$40:$P$49)</f>
        <v>0</v>
      </c>
      <c r="I97" s="201" t="s">
        <v>217</v>
      </c>
      <c r="J97" s="202"/>
      <c r="K97" s="202"/>
      <c r="L97" s="212"/>
      <c r="M97" s="410">
        <f>SUMIF($Q$71:$Q$80,"&lt;=0,99",$Q$40:$Q$49)-$M$94</f>
        <v>0</v>
      </c>
      <c r="N97" s="199" t="str">
        <f>IF($G$87="?","?",$M97/$G$87)</f>
        <v>?</v>
      </c>
    </row>
    <row r="98" spans="3:16" ht="18" customHeight="1">
      <c r="C98" s="572"/>
      <c r="D98" s="573"/>
      <c r="E98" s="573"/>
      <c r="F98" s="574"/>
      <c r="G98" s="605"/>
      <c r="I98" s="201" t="s">
        <v>218</v>
      </c>
      <c r="J98" s="202"/>
      <c r="K98" s="202"/>
      <c r="L98" s="212"/>
      <c r="M98" s="410">
        <f ca="1">SUMIF($E$40:$G$49,$E$129,$Q$40:$Q$49)</f>
        <v>0</v>
      </c>
      <c r="N98" s="199" t="str">
        <f>IF($G$87="?","?",$M98/$G$87)</f>
        <v>?</v>
      </c>
      <c r="P98" s="341" t="s">
        <v>112</v>
      </c>
    </row>
    <row r="99" spans="3:16" ht="18" customHeight="1">
      <c r="C99" s="563" t="s">
        <v>219</v>
      </c>
      <c r="D99" s="564"/>
      <c r="E99" s="564"/>
      <c r="F99" s="571"/>
      <c r="G99" s="568">
        <f ca="1">SUMIF($E$40:$G$49,$E$129,$L$40:$L$49)+SUMIF($E$40:$G$49,$E$129,$M$40:$M$49)+SUMIF($E$40:$G$49,$E$129,$P$40:$P$49)</f>
        <v>0</v>
      </c>
      <c r="I99" s="201" t="s">
        <v>220</v>
      </c>
      <c r="J99" s="202"/>
      <c r="K99" s="202"/>
      <c r="L99" s="212"/>
      <c r="M99" s="410">
        <f ca="1">$G$104</f>
        <v>0</v>
      </c>
      <c r="N99" s="199" t="str">
        <f>IF($G$87="?","?",$M99/$G$87)</f>
        <v>?</v>
      </c>
      <c r="P99" s="1" t="s">
        <v>114</v>
      </c>
    </row>
    <row r="100" spans="3:16" ht="18" customHeight="1" thickBot="1">
      <c r="C100" s="572"/>
      <c r="D100" s="573"/>
      <c r="E100" s="573"/>
      <c r="F100" s="574"/>
      <c r="G100" s="608"/>
      <c r="I100" s="420" t="s">
        <v>116</v>
      </c>
      <c r="J100" s="421"/>
      <c r="K100" s="421"/>
      <c r="L100" s="422"/>
      <c r="M100" s="423">
        <f ca="1">SUM(M97:M99)</f>
        <v>0</v>
      </c>
      <c r="N100" s="424" t="str">
        <f>IF(G87="?","?",SUM(N97:N99))</f>
        <v>?</v>
      </c>
      <c r="P100" s="1" t="s">
        <v>117</v>
      </c>
    </row>
    <row r="101" spans="3:16" ht="18" customHeight="1" thickBot="1">
      <c r="C101" s="563" t="s">
        <v>221</v>
      </c>
      <c r="D101" s="564"/>
      <c r="E101" s="564"/>
      <c r="F101" s="571"/>
      <c r="G101" s="605">
        <f ca="1">SUMIF($E$40:$G$49,$E$126,$H$40:$H$49)</f>
        <v>0</v>
      </c>
      <c r="I101" s="88" t="s">
        <v>53</v>
      </c>
      <c r="J101" s="89"/>
      <c r="K101" s="89"/>
      <c r="L101" s="89"/>
      <c r="M101" s="236">
        <f ca="1">M95+M100</f>
        <v>0</v>
      </c>
      <c r="N101" s="237" t="str">
        <f>IF($G$87="?","?",$N$95+$N$100)</f>
        <v>?</v>
      </c>
    </row>
    <row r="102" spans="3:16" ht="18" customHeight="1" thickBot="1">
      <c r="C102" s="565"/>
      <c r="D102" s="566"/>
      <c r="E102" s="566"/>
      <c r="F102" s="600"/>
      <c r="G102" s="569"/>
    </row>
    <row r="103" spans="3:16" ht="18" customHeight="1" thickBot="1">
      <c r="C103" s="231" t="s">
        <v>119</v>
      </c>
      <c r="D103" s="232"/>
      <c r="E103" s="233"/>
      <c r="F103" s="233"/>
      <c r="G103" s="235">
        <f ca="1">SUM($G$92:$G$102)</f>
        <v>0</v>
      </c>
    </row>
    <row r="104" spans="3:16" ht="18" customHeight="1" thickBot="1">
      <c r="C104" s="542" t="s">
        <v>121</v>
      </c>
      <c r="D104" s="543"/>
      <c r="E104" s="543"/>
      <c r="F104" s="544"/>
      <c r="G104" s="561">
        <f ca="1">IF($F$23&lt;=$G$103,0,$F$23-$G$103)</f>
        <v>0</v>
      </c>
      <c r="I104" s="9" t="s">
        <v>222</v>
      </c>
    </row>
    <row r="105" spans="3:16" ht="18" customHeight="1" thickBot="1">
      <c r="C105" s="545"/>
      <c r="D105" s="546"/>
      <c r="E105" s="546"/>
      <c r="F105" s="547"/>
      <c r="G105" s="562"/>
      <c r="M105" s="182" t="s">
        <v>83</v>
      </c>
      <c r="N105" s="182" t="s">
        <v>223</v>
      </c>
    </row>
    <row r="106" spans="3:16" ht="18" customHeight="1" thickBot="1">
      <c r="C106" s="238" t="s">
        <v>53</v>
      </c>
      <c r="D106" s="89"/>
      <c r="E106" s="239"/>
      <c r="F106" s="239"/>
      <c r="G106" s="240">
        <f ca="1">G103+G104</f>
        <v>0</v>
      </c>
      <c r="I106" s="404" t="s">
        <v>224</v>
      </c>
      <c r="J106" s="405"/>
      <c r="K106" s="405"/>
      <c r="L106" s="405"/>
      <c r="M106" s="425"/>
      <c r="N106" s="426"/>
    </row>
    <row r="107" spans="3:16" ht="18" customHeight="1">
      <c r="I107" s="408" t="s">
        <v>225</v>
      </c>
      <c r="J107" s="427"/>
      <c r="K107" s="203"/>
      <c r="L107" s="212"/>
      <c r="M107" s="410">
        <f ca="1">SUMIF($D$71:$E$80,$C$132,$M$71:$M$80)-SUMIF($D$71:$E$80,$C$132,$R$71:$R$80)</f>
        <v>0</v>
      </c>
      <c r="N107" s="199" t="str">
        <f ca="1">IF($M$116=0,"?",$M107/$M$116)</f>
        <v>?</v>
      </c>
    </row>
    <row r="108" spans="3:16" ht="18" customHeight="1">
      <c r="I108" s="408" t="s">
        <v>226</v>
      </c>
      <c r="J108" s="428"/>
      <c r="K108" s="203"/>
      <c r="L108" s="212"/>
      <c r="M108" s="411">
        <f ca="1">SUMIF($D$71:$E$80,$C$133,$M$71:$M$80)-SUMIF($D$71:$E$80,$C$133,$R$71:$R$80)</f>
        <v>0</v>
      </c>
      <c r="N108" s="199" t="str">
        <f ca="1">IF($M$116=0,"?",$M108/$M$116)</f>
        <v>?</v>
      </c>
    </row>
    <row r="109" spans="3:16" ht="18" customHeight="1">
      <c r="I109" s="408" t="s">
        <v>227</v>
      </c>
      <c r="J109" s="428"/>
      <c r="K109" s="203"/>
      <c r="L109" s="212"/>
      <c r="M109" s="411">
        <f ca="1">SUMIF($D$71:$E$80,$C$134,$M$71:$M$80)-SUMIF($D$71:$E$80,$C$134,$R$71:$R$80)</f>
        <v>0</v>
      </c>
      <c r="N109" s="199" t="str">
        <f ca="1">IF($M$116=0,"?",$M109/$M$116)</f>
        <v>?</v>
      </c>
    </row>
    <row r="110" spans="3:16" ht="18" customHeight="1" thickBot="1">
      <c r="I110" s="412" t="s">
        <v>116</v>
      </c>
      <c r="J110" s="413"/>
      <c r="K110" s="413"/>
      <c r="L110" s="414"/>
      <c r="M110" s="415">
        <f ca="1">SUM($M$107:$M$109)</f>
        <v>0</v>
      </c>
      <c r="N110" s="416">
        <f ca="1">SUM(N107:N109)</f>
        <v>0</v>
      </c>
    </row>
    <row r="111" spans="3:16" ht="18" customHeight="1">
      <c r="I111" s="417" t="s">
        <v>228</v>
      </c>
      <c r="J111" s="418"/>
      <c r="K111" s="418"/>
      <c r="L111" s="418"/>
      <c r="M111" s="419"/>
      <c r="N111" s="429"/>
    </row>
    <row r="112" spans="3:16" ht="18" customHeight="1">
      <c r="I112" s="408" t="s">
        <v>229</v>
      </c>
      <c r="J112" s="427"/>
      <c r="K112" s="202"/>
      <c r="L112" s="212"/>
      <c r="M112" s="410">
        <f>$R$81</f>
        <v>0</v>
      </c>
      <c r="N112" s="199" t="str">
        <f ca="1">IF($M$116=0,"?",$M112/$M$116)</f>
        <v>?</v>
      </c>
    </row>
    <row r="113" spans="3:19" ht="18" customHeight="1">
      <c r="I113" s="408" t="s">
        <v>230</v>
      </c>
      <c r="J113" s="427"/>
      <c r="K113" s="202"/>
      <c r="L113" s="212"/>
      <c r="M113" s="410">
        <f ca="1">SUMIF($E$40:$G$49,$E$129,$R$40:$R$49)*480/10000</f>
        <v>0</v>
      </c>
      <c r="N113" s="199" t="str">
        <f ca="1">IF($M$116=0,"?",$M113/$M$116)</f>
        <v>?</v>
      </c>
    </row>
    <row r="114" spans="3:19" ht="18" customHeight="1">
      <c r="I114" s="408" t="s">
        <v>231</v>
      </c>
      <c r="J114" s="427"/>
      <c r="K114" s="202"/>
      <c r="L114" s="212"/>
      <c r="M114" s="410" t="str">
        <f>IF(G87="?","?",$G$104*480/10000)</f>
        <v>?</v>
      </c>
      <c r="N114" s="199" t="str">
        <f>IF($M$114="?","?",$M114/$M$116)</f>
        <v>?</v>
      </c>
    </row>
    <row r="115" spans="3:19" ht="18" customHeight="1" thickBot="1">
      <c r="I115" s="420" t="s">
        <v>116</v>
      </c>
      <c r="J115" s="421"/>
      <c r="K115" s="421"/>
      <c r="L115" s="422"/>
      <c r="M115" s="423">
        <f ca="1">SUM($M$112:$M$114)</f>
        <v>0</v>
      </c>
      <c r="N115" s="424">
        <f ca="1">SUM(N112:N114)</f>
        <v>0</v>
      </c>
    </row>
    <row r="116" spans="3:19" ht="18" customHeight="1" thickBot="1">
      <c r="I116" s="88" t="s">
        <v>53</v>
      </c>
      <c r="J116" s="89"/>
      <c r="K116" s="89"/>
      <c r="L116" s="89"/>
      <c r="M116" s="236">
        <f ca="1">$M$110+$M$115</f>
        <v>0</v>
      </c>
      <c r="N116" s="237">
        <f ca="1">$N$110+$N$115</f>
        <v>0</v>
      </c>
    </row>
    <row r="120" spans="3:19" ht="15" customHeight="1">
      <c r="C120" s="241" t="s">
        <v>123</v>
      </c>
      <c r="D120" s="242"/>
      <c r="E120" s="242"/>
      <c r="F120" s="242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</row>
    <row r="121" spans="3:19" ht="15" customHeight="1">
      <c r="C121" s="243" t="s">
        <v>124</v>
      </c>
      <c r="D121" s="242"/>
      <c r="E121" s="242"/>
      <c r="F121" s="242"/>
      <c r="G121" s="242"/>
      <c r="H121" s="242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</row>
    <row r="123" spans="3:19" ht="18" hidden="1" customHeight="1">
      <c r="C123" s="245" t="s">
        <v>125</v>
      </c>
      <c r="D123" s="246"/>
      <c r="E123" s="245"/>
      <c r="F123" s="247"/>
      <c r="G123" s="246"/>
      <c r="H123" s="246"/>
      <c r="I123" s="246"/>
      <c r="J123" s="246"/>
      <c r="K123" s="246"/>
      <c r="L123" s="246"/>
      <c r="M123" s="246"/>
      <c r="N123" s="246"/>
      <c r="O123" s="246"/>
      <c r="P123" s="246"/>
      <c r="Q123" s="246"/>
      <c r="R123" s="246"/>
    </row>
    <row r="124" spans="3:19" ht="18" hidden="1" customHeight="1" thickBot="1"/>
    <row r="125" spans="3:19" ht="41.25" hidden="1" thickBot="1">
      <c r="C125" s="248"/>
      <c r="D125" s="249"/>
      <c r="E125" s="250" t="s">
        <v>126</v>
      </c>
      <c r="F125" s="430" t="s">
        <v>127</v>
      </c>
    </row>
    <row r="126" spans="3:19" ht="18" hidden="1" customHeight="1">
      <c r="C126" s="431"/>
      <c r="D126" s="186"/>
      <c r="E126" s="432" t="s">
        <v>232</v>
      </c>
      <c r="F126" s="433" t="s">
        <v>131</v>
      </c>
    </row>
    <row r="127" spans="3:19" ht="18" hidden="1" customHeight="1">
      <c r="C127" s="434"/>
      <c r="D127" s="168"/>
      <c r="E127" s="435" t="s">
        <v>233</v>
      </c>
      <c r="F127" s="436" t="s">
        <v>131</v>
      </c>
    </row>
    <row r="128" spans="3:19" ht="18" hidden="1" customHeight="1">
      <c r="C128" s="437"/>
      <c r="D128" s="203"/>
      <c r="E128" s="438" t="s">
        <v>234</v>
      </c>
      <c r="F128" s="439" t="s">
        <v>150</v>
      </c>
    </row>
    <row r="129" spans="3:24" ht="18" hidden="1" customHeight="1" thickBot="1">
      <c r="C129" s="440"/>
      <c r="D129" s="294"/>
      <c r="E129" s="441" t="s">
        <v>148</v>
      </c>
      <c r="F129" s="442" t="s">
        <v>150</v>
      </c>
    </row>
    <row r="130" spans="3:24" ht="18" hidden="1" customHeight="1" thickBot="1"/>
    <row r="131" spans="3:24" ht="18" hidden="1" customHeight="1" thickBot="1">
      <c r="C131" s="285" t="s">
        <v>235</v>
      </c>
      <c r="D131" s="443"/>
      <c r="E131" s="444"/>
      <c r="G131" s="262" t="s">
        <v>11</v>
      </c>
      <c r="H131" s="250"/>
      <c r="J131" s="285" t="s">
        <v>151</v>
      </c>
      <c r="K131" s="286"/>
    </row>
    <row r="132" spans="3:24" ht="18" hidden="1" customHeight="1">
      <c r="C132" s="445" t="s">
        <v>141</v>
      </c>
      <c r="E132" s="195"/>
      <c r="G132" s="167" t="s">
        <v>15</v>
      </c>
      <c r="H132" s="205"/>
      <c r="J132" s="167" t="s">
        <v>154</v>
      </c>
      <c r="K132" s="205"/>
    </row>
    <row r="133" spans="3:24" ht="18" hidden="1" customHeight="1">
      <c r="C133" s="211" t="s">
        <v>236</v>
      </c>
      <c r="D133" s="203"/>
      <c r="E133" s="212"/>
      <c r="G133" s="211" t="s">
        <v>142</v>
      </c>
      <c r="H133" s="212"/>
      <c r="J133" s="211" t="s">
        <v>17</v>
      </c>
      <c r="K133" s="212"/>
    </row>
    <row r="134" spans="3:24" ht="18" hidden="1" customHeight="1" thickBot="1">
      <c r="C134" s="172" t="s">
        <v>237</v>
      </c>
      <c r="D134" s="13"/>
      <c r="E134" s="446"/>
      <c r="G134" s="278" t="s">
        <v>18</v>
      </c>
      <c r="H134" s="279"/>
      <c r="J134" s="278" t="s">
        <v>23</v>
      </c>
      <c r="K134" s="279"/>
    </row>
    <row r="135" spans="3:24" ht="18" hidden="1" customHeight="1"/>
    <row r="136" spans="3:24" ht="18" hidden="1" customHeight="1">
      <c r="C136" s="245" t="s">
        <v>172</v>
      </c>
      <c r="D136" s="246"/>
      <c r="E136" s="245"/>
      <c r="F136" s="247"/>
      <c r="G136" s="246"/>
      <c r="H136" s="246"/>
      <c r="I136" s="246"/>
      <c r="J136" s="246"/>
      <c r="K136" s="246"/>
      <c r="L136" s="246"/>
      <c r="M136" s="246"/>
      <c r="N136" s="246"/>
      <c r="O136" s="246"/>
      <c r="P136" s="246"/>
      <c r="Q136" s="246"/>
      <c r="R136" s="246"/>
    </row>
    <row r="137" spans="3:24" ht="18" customHeight="1">
      <c r="X137" s="296"/>
    </row>
  </sheetData>
  <sheetProtection algorithmName="SHA-512" hashValue="CK7uwwP24XU0z1DFupeLlcCDvtNNuvngmM+3Tz0PqeT+yE7Amf58bctni/4gWNTMcBpT2rfzZnShIhhMdHXnqg==" saltValue="besM/Pd+RRgfMWylGN/hZg==" spinCount="100000" sheet="1" objects="1" scenarios="1"/>
  <protectedRanges>
    <protectedRange sqref="I34:P38" name="Plage10"/>
    <protectedRange sqref="P71:P80" name="Plage9"/>
    <protectedRange sqref="F17:J18" name="Plage1"/>
    <protectedRange sqref="F20:G21" name="Plage2"/>
    <protectedRange sqref="F23:G23" name="Plage3"/>
    <protectedRange sqref="C40:P49" name="Plage4"/>
    <protectedRange sqref="I53:P53" name="Plage5"/>
    <protectedRange sqref="F62" name="Plage6"/>
    <protectedRange sqref="D71:E80" name="Plage7"/>
    <protectedRange sqref="G71:G80" name="Plage8"/>
  </protectedRanges>
  <mergeCells count="76">
    <mergeCell ref="C33:C39"/>
    <mergeCell ref="E34:G39"/>
    <mergeCell ref="H34:H37"/>
    <mergeCell ref="I34:I37"/>
    <mergeCell ref="J34:K36"/>
    <mergeCell ref="D33:D39"/>
    <mergeCell ref="R34:R38"/>
    <mergeCell ref="F20:G20"/>
    <mergeCell ref="R21:S21"/>
    <mergeCell ref="R23:S23"/>
    <mergeCell ref="S34:S38"/>
    <mergeCell ref="F21:G21"/>
    <mergeCell ref="F23:G23"/>
    <mergeCell ref="Q34:Q38"/>
    <mergeCell ref="L34:L37"/>
    <mergeCell ref="M34:M37"/>
    <mergeCell ref="N34:N37"/>
    <mergeCell ref="O34:O37"/>
    <mergeCell ref="P34:P37"/>
    <mergeCell ref="E9:J9"/>
    <mergeCell ref="E10:J10"/>
    <mergeCell ref="E11:J11"/>
    <mergeCell ref="F17:J17"/>
    <mergeCell ref="F18:J18"/>
    <mergeCell ref="D65:E70"/>
    <mergeCell ref="E45:G45"/>
    <mergeCell ref="E48:G48"/>
    <mergeCell ref="E49:G49"/>
    <mergeCell ref="E40:G40"/>
    <mergeCell ref="E41:G41"/>
    <mergeCell ref="E42:G42"/>
    <mergeCell ref="E43:G43"/>
    <mergeCell ref="E44:G44"/>
    <mergeCell ref="O65:O69"/>
    <mergeCell ref="F65:F69"/>
    <mergeCell ref="G65:G69"/>
    <mergeCell ref="L65:L69"/>
    <mergeCell ref="M65:M69"/>
    <mergeCell ref="N65:N69"/>
    <mergeCell ref="C30:C31"/>
    <mergeCell ref="D80:E80"/>
    <mergeCell ref="D81:E81"/>
    <mergeCell ref="D74:E74"/>
    <mergeCell ref="D75:E75"/>
    <mergeCell ref="D77:E77"/>
    <mergeCell ref="D78:E78"/>
    <mergeCell ref="D79:E79"/>
    <mergeCell ref="D76:E76"/>
    <mergeCell ref="D71:E71"/>
    <mergeCell ref="D72:E72"/>
    <mergeCell ref="D73:E73"/>
    <mergeCell ref="C64:C70"/>
    <mergeCell ref="E46:G46"/>
    <mergeCell ref="E47:G47"/>
    <mergeCell ref="C59:C60"/>
    <mergeCell ref="M90:M91"/>
    <mergeCell ref="N90:N91"/>
    <mergeCell ref="K66:K68"/>
    <mergeCell ref="S92:S96"/>
    <mergeCell ref="G104:G105"/>
    <mergeCell ref="G101:G102"/>
    <mergeCell ref="G93:G94"/>
    <mergeCell ref="G97:G98"/>
    <mergeCell ref="G99:G100"/>
    <mergeCell ref="P92:R96"/>
    <mergeCell ref="Q65:Q70"/>
    <mergeCell ref="R65:R69"/>
    <mergeCell ref="P65:P69"/>
    <mergeCell ref="H65:H69"/>
    <mergeCell ref="I65:I69"/>
    <mergeCell ref="J65:J69"/>
    <mergeCell ref="C93:F94"/>
    <mergeCell ref="C97:F98"/>
    <mergeCell ref="C99:F100"/>
    <mergeCell ref="C101:F102"/>
    <mergeCell ref="C104:F105"/>
  </mergeCells>
  <conditionalFormatting sqref="C71:O80">
    <cfRule type="expression" dxfId="42" priority="147">
      <formula>IF($C40="",1,0)</formula>
    </cfRule>
  </conditionalFormatting>
  <conditionalFormatting sqref="E40:G49">
    <cfRule type="cellIs" dxfId="41" priority="130" operator="equal">
      <formula>$E$129</formula>
    </cfRule>
  </conditionalFormatting>
  <conditionalFormatting sqref="E40:S49">
    <cfRule type="expression" dxfId="40" priority="96">
      <formula>IF($C40="",1,0)</formula>
    </cfRule>
  </conditionalFormatting>
  <conditionalFormatting sqref="D71:O80">
    <cfRule type="cellIs" dxfId="39" priority="86" operator="equal">
      <formula>"?"</formula>
    </cfRule>
  </conditionalFormatting>
  <conditionalFormatting sqref="P71:P80">
    <cfRule type="expression" dxfId="38" priority="73">
      <formula>IF($C40="",1,0)</formula>
    </cfRule>
  </conditionalFormatting>
  <conditionalFormatting sqref="P71:P80">
    <cfRule type="cellIs" dxfId="37" priority="72" operator="equal">
      <formula>"?"</formula>
    </cfRule>
  </conditionalFormatting>
  <conditionalFormatting sqref="Q71:Q80">
    <cfRule type="expression" dxfId="36" priority="64">
      <formula>IF($C40="",1,0)</formula>
    </cfRule>
  </conditionalFormatting>
  <conditionalFormatting sqref="Q71:Q80">
    <cfRule type="cellIs" dxfId="35" priority="65" operator="equal">
      <formula>1</formula>
    </cfRule>
    <cfRule type="cellIs" dxfId="34" priority="66" operator="between">
      <formula>0.8</formula>
      <formula>1</formula>
    </cfRule>
    <cfRule type="cellIs" dxfId="33" priority="67" operator="between">
      <formula>0.6</formula>
      <formula>0.8</formula>
    </cfRule>
    <cfRule type="cellIs" dxfId="32" priority="68" operator="lessThanOrEqual">
      <formula>0.6</formula>
    </cfRule>
  </conditionalFormatting>
  <conditionalFormatting sqref="Q71:Q80">
    <cfRule type="cellIs" dxfId="31" priority="62" operator="equal">
      <formula>"À justifier**"</formula>
    </cfRule>
    <cfRule type="cellIs" dxfId="30" priority="63" operator="equal">
      <formula>"?"</formula>
    </cfRule>
  </conditionalFormatting>
  <conditionalFormatting sqref="R71:R80">
    <cfRule type="expression" dxfId="29" priority="61">
      <formula>IF($C40="",1,0)</formula>
    </cfRule>
  </conditionalFormatting>
  <conditionalFormatting sqref="R71:R80">
    <cfRule type="cellIs" dxfId="28" priority="60" operator="equal">
      <formula>"?"</formula>
    </cfRule>
  </conditionalFormatting>
  <conditionalFormatting sqref="G87">
    <cfRule type="cellIs" dxfId="27" priority="59" operator="equal">
      <formula>"?"</formula>
    </cfRule>
  </conditionalFormatting>
  <conditionalFormatting sqref="G104:G105">
    <cfRule type="dataBar" priority="52">
      <dataBar>
        <cfvo type="min"/>
        <cfvo type="num" val="$G$106"/>
        <color theme="0" tint="-0.249977111117893"/>
      </dataBar>
      <extLst>
        <ext xmlns:x14="http://schemas.microsoft.com/office/spreadsheetml/2009/9/main" uri="{B025F937-C7B1-47D3-B67F-A62EFF666E3E}">
          <x14:id>{81620B18-308F-41DD-A923-280BFB3B1CB0}</x14:id>
        </ext>
      </extLst>
    </cfRule>
  </conditionalFormatting>
  <conditionalFormatting sqref="G92">
    <cfRule type="dataBar" priority="53">
      <dataBar>
        <cfvo type="min"/>
        <cfvo type="num" val="$G$106"/>
        <color rgb="FF7FC6A4"/>
      </dataBar>
      <extLst>
        <ext xmlns:x14="http://schemas.microsoft.com/office/spreadsheetml/2009/9/main" uri="{B025F937-C7B1-47D3-B67F-A62EFF666E3E}">
          <x14:id>{3D7D5891-A308-4A31-9E18-D381CE73ADA0}</x14:id>
        </ext>
      </extLst>
    </cfRule>
  </conditionalFormatting>
  <conditionalFormatting sqref="G93">
    <cfRule type="dataBar" priority="54">
      <dataBar>
        <cfvo type="min"/>
        <cfvo type="num" val="$G$106"/>
        <color rgb="FFB1D6A9"/>
      </dataBar>
      <extLst>
        <ext xmlns:x14="http://schemas.microsoft.com/office/spreadsheetml/2009/9/main" uri="{B025F937-C7B1-47D3-B67F-A62EFF666E3E}">
          <x14:id>{1F3D1A66-134E-4E2B-A77E-6CBC3A257984}</x14:id>
        </ext>
      </extLst>
    </cfRule>
  </conditionalFormatting>
  <conditionalFormatting sqref="G96">
    <cfRule type="dataBar" priority="55">
      <dataBar>
        <cfvo type="min"/>
        <cfvo type="num" val="$G$106"/>
        <color rgb="FFFCBB79"/>
      </dataBar>
      <extLst>
        <ext xmlns:x14="http://schemas.microsoft.com/office/spreadsheetml/2009/9/main" uri="{B025F937-C7B1-47D3-B67F-A62EFF666E3E}">
          <x14:id>{A77E4BCC-DAFA-4153-A83E-F350CD26813A}</x14:id>
        </ext>
      </extLst>
    </cfRule>
  </conditionalFormatting>
  <conditionalFormatting sqref="G97">
    <cfRule type="dataBar" priority="56">
      <dataBar>
        <cfvo type="min"/>
        <cfvo type="num" val="$G$106"/>
        <color rgb="FF8398A9"/>
      </dataBar>
      <extLst>
        <ext xmlns:x14="http://schemas.microsoft.com/office/spreadsheetml/2009/9/main" uri="{B025F937-C7B1-47D3-B67F-A62EFF666E3E}">
          <x14:id>{883E4AB0-7A0F-4E3E-8528-5106E74B1481}</x14:id>
        </ext>
      </extLst>
    </cfRule>
  </conditionalFormatting>
  <conditionalFormatting sqref="G95">
    <cfRule type="dataBar" priority="57">
      <dataBar>
        <cfvo type="min"/>
        <cfvo type="num" val="$G$106"/>
        <color rgb="FFFCBB79"/>
      </dataBar>
      <extLst>
        <ext xmlns:x14="http://schemas.microsoft.com/office/spreadsheetml/2009/9/main" uri="{B025F937-C7B1-47D3-B67F-A62EFF666E3E}">
          <x14:id>{DE905ACD-6D3E-455C-858F-3F7ADC167BB8}</x14:id>
        </ext>
      </extLst>
    </cfRule>
  </conditionalFormatting>
  <conditionalFormatting sqref="G99">
    <cfRule type="dataBar" priority="58">
      <dataBar>
        <cfvo type="min"/>
        <cfvo type="num" val="$G$106"/>
        <color theme="0" tint="-0.249977111117893"/>
      </dataBar>
      <extLst>
        <ext xmlns:x14="http://schemas.microsoft.com/office/spreadsheetml/2009/9/main" uri="{B025F937-C7B1-47D3-B67F-A62EFF666E3E}">
          <x14:id>{0DBE86B9-4FFC-4872-A56C-2AB8007065FE}</x14:id>
        </ext>
      </extLst>
    </cfRule>
  </conditionalFormatting>
  <conditionalFormatting sqref="G101">
    <cfRule type="dataBar" priority="51">
      <dataBar>
        <cfvo type="min"/>
        <cfvo type="num" val="$G$106"/>
        <color theme="7" tint="0.39997558519241921"/>
      </dataBar>
      <extLst>
        <ext xmlns:x14="http://schemas.microsoft.com/office/spreadsheetml/2009/9/main" uri="{B025F937-C7B1-47D3-B67F-A62EFF666E3E}">
          <x14:id>{DA7B891B-13A0-4D56-AF1B-5C39525F6867}</x14:id>
        </ext>
      </extLst>
    </cfRule>
  </conditionalFormatting>
  <conditionalFormatting sqref="N111 N107:N109">
    <cfRule type="cellIs" dxfId="26" priority="50" operator="equal">
      <formula>"?"</formula>
    </cfRule>
  </conditionalFormatting>
  <conditionalFormatting sqref="M114">
    <cfRule type="cellIs" dxfId="25" priority="47" operator="equal">
      <formula>"?"</formula>
    </cfRule>
  </conditionalFormatting>
  <conditionalFormatting sqref="S92">
    <cfRule type="cellIs" dxfId="24" priority="36" operator="equal">
      <formula>"?"</formula>
    </cfRule>
  </conditionalFormatting>
  <conditionalFormatting sqref="N114">
    <cfRule type="cellIs" dxfId="23" priority="32" operator="equal">
      <formula>"?"</formula>
    </cfRule>
  </conditionalFormatting>
  <conditionalFormatting sqref="S92">
    <cfRule type="cellIs" dxfId="22" priority="37" operator="greaterThanOrEqual">
      <formula>1</formula>
    </cfRule>
    <cfRule type="cellIs" dxfId="21" priority="37" operator="between">
      <formula>0.8</formula>
      <formula>1</formula>
    </cfRule>
    <cfRule type="cellIs" dxfId="20" priority="38" operator="between">
      <formula>0.6</formula>
      <formula>0.8</formula>
    </cfRule>
    <cfRule type="cellIs" dxfId="19" priority="39" operator="lessThanOrEqual">
      <formula>0.6</formula>
    </cfRule>
  </conditionalFormatting>
  <conditionalFormatting sqref="N93:N94">
    <cfRule type="cellIs" dxfId="18" priority="31" operator="equal">
      <formula>"?"</formula>
    </cfRule>
  </conditionalFormatting>
  <conditionalFormatting sqref="N96">
    <cfRule type="cellIs" dxfId="17" priority="30" operator="equal">
      <formula>"?"</formula>
    </cfRule>
  </conditionalFormatting>
  <conditionalFormatting sqref="M99">
    <cfRule type="cellIs" dxfId="16" priority="29" operator="equal">
      <formula>"?"</formula>
    </cfRule>
  </conditionalFormatting>
  <conditionalFormatting sqref="G71:G80">
    <cfRule type="expression" dxfId="15" priority="650">
      <formula>IF(OR($D71=$C$132,$D71=$C$134),1,0)</formula>
    </cfRule>
  </conditionalFormatting>
  <conditionalFormatting sqref="F71:F80">
    <cfRule type="expression" dxfId="14" priority="651">
      <formula>IF(OR($D71=$C$132,$D71=$C$134),1,0)</formula>
    </cfRule>
  </conditionalFormatting>
  <conditionalFormatting sqref="N97">
    <cfRule type="cellIs" dxfId="13" priority="12" operator="equal">
      <formula>"?"</formula>
    </cfRule>
  </conditionalFormatting>
  <conditionalFormatting sqref="N98">
    <cfRule type="cellIs" dxfId="12" priority="11" operator="equal">
      <formula>"?"</formula>
    </cfRule>
  </conditionalFormatting>
  <conditionalFormatting sqref="N99">
    <cfRule type="cellIs" dxfId="11" priority="10" operator="equal">
      <formula>"?"</formula>
    </cfRule>
  </conditionalFormatting>
  <conditionalFormatting sqref="N112">
    <cfRule type="cellIs" dxfId="10" priority="9" operator="equal">
      <formula>"?"</formula>
    </cfRule>
  </conditionalFormatting>
  <conditionalFormatting sqref="N113">
    <cfRule type="cellIs" dxfId="9" priority="8" operator="equal">
      <formula>"?"</formula>
    </cfRule>
  </conditionalFormatting>
  <conditionalFormatting sqref="C83">
    <cfRule type="expression" dxfId="8" priority="6">
      <formula>IF(MAX($K$71:$K$80)&gt;100,0,1)</formula>
    </cfRule>
  </conditionalFormatting>
  <conditionalFormatting sqref="D83:M83">
    <cfRule type="expression" dxfId="7" priority="5">
      <formula>IF(MAX($K$71:$K$80)&gt;100,0,1)</formula>
    </cfRule>
  </conditionalFormatting>
  <conditionalFormatting sqref="H40:H49">
    <cfRule type="expression" dxfId="6" priority="667">
      <formula>IF($E40=$E$129,1,0)</formula>
    </cfRule>
  </conditionalFormatting>
  <conditionalFormatting sqref="D40:D49">
    <cfRule type="expression" dxfId="5" priority="2">
      <formula>IF($C40="",1,0)</formula>
    </cfRule>
  </conditionalFormatting>
  <conditionalFormatting sqref="H87:S87">
    <cfRule type="expression" dxfId="4" priority="1">
      <formula>IF($F$23&gt;0,TRUE,FALSE)</formula>
    </cfRule>
  </conditionalFormatting>
  <conditionalFormatting sqref="D71:E80">
    <cfRule type="expression" dxfId="3" priority="678">
      <formula>IF(AND($E40=$E$127,OR($D71=$C$132,$D71=$C$134)),1,0)</formula>
    </cfRule>
    <cfRule type="expression" dxfId="2" priority="679">
      <formula>IF($E40=$E$129,1,0)</formula>
    </cfRule>
  </conditionalFormatting>
  <conditionalFormatting sqref="F71:G80">
    <cfRule type="expression" dxfId="1" priority="680">
      <formula>IF(OR($D71=$C$133,$E40=$E$129),1,0)</formula>
    </cfRule>
  </conditionalFormatting>
  <conditionalFormatting sqref="P71:P80">
    <cfRule type="expression" dxfId="0" priority="681">
      <formula>IF($E40=$E$129,1,0)</formula>
    </cfRule>
  </conditionalFormatting>
  <dataValidations count="4">
    <dataValidation type="list" allowBlank="1" showInputMessage="1" showErrorMessage="1" sqref="F20:G20" xr:uid="{6DE42410-C5A3-4240-BAED-F7EDB675B16A}">
      <formula1>$G$132:$G$134</formula1>
    </dataValidation>
    <dataValidation type="list" allowBlank="1" showInputMessage="1" showErrorMessage="1" sqref="F21:G21" xr:uid="{7FE87D63-B284-45BD-8B1B-11C531121FA7}">
      <formula1>$J$132:$J$134</formula1>
    </dataValidation>
    <dataValidation type="list" allowBlank="1" showInputMessage="1" showErrorMessage="1" sqref="D71:E80" xr:uid="{DA955916-34BC-48CC-B2A2-440D9C2A0A67}">
      <formula1>$C$132:$C$134</formula1>
    </dataValidation>
    <dataValidation type="list" allowBlank="1" showInputMessage="1" showErrorMessage="1" sqref="E40:G49" xr:uid="{87DAE557-3E99-4404-8BB4-AE89B1D17174}">
      <formula1>$E$126:$E$129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1620B18-308F-41DD-A923-280BFB3B1CB0}">
            <x14:dataBar minLength="0" maxLength="100" gradient="0">
              <x14:cfvo type="autoMin"/>
              <x14:cfvo type="num">
                <xm:f>$G$106</xm:f>
              </x14:cfvo>
              <x14:negativeFillColor rgb="FFFF0000"/>
              <x14:axisColor rgb="FF000000"/>
            </x14:dataBar>
          </x14:cfRule>
          <xm:sqref>G104:G105</xm:sqref>
        </x14:conditionalFormatting>
        <x14:conditionalFormatting xmlns:xm="http://schemas.microsoft.com/office/excel/2006/main">
          <x14:cfRule type="dataBar" id="{3D7D5891-A308-4A31-9E18-D381CE73ADA0}">
            <x14:dataBar minLength="0" maxLength="100" gradient="0">
              <x14:cfvo type="autoMin"/>
              <x14:cfvo type="num">
                <xm:f>$G$106</xm:f>
              </x14:cfvo>
              <x14:negativeFillColor rgb="FFFF0000"/>
              <x14:axisColor rgb="FF000000"/>
            </x14:dataBar>
          </x14:cfRule>
          <xm:sqref>G92</xm:sqref>
        </x14:conditionalFormatting>
        <x14:conditionalFormatting xmlns:xm="http://schemas.microsoft.com/office/excel/2006/main">
          <x14:cfRule type="dataBar" id="{1F3D1A66-134E-4E2B-A77E-6CBC3A257984}">
            <x14:dataBar minLength="0" maxLength="100" gradient="0">
              <x14:cfvo type="autoMin"/>
              <x14:cfvo type="num">
                <xm:f>$G$106</xm:f>
              </x14:cfvo>
              <x14:negativeFillColor rgb="FFFF0000"/>
              <x14:axisColor rgb="FF000000"/>
            </x14:dataBar>
          </x14:cfRule>
          <xm:sqref>G93</xm:sqref>
        </x14:conditionalFormatting>
        <x14:conditionalFormatting xmlns:xm="http://schemas.microsoft.com/office/excel/2006/main">
          <x14:cfRule type="dataBar" id="{A77E4BCC-DAFA-4153-A83E-F350CD26813A}">
            <x14:dataBar minLength="0" maxLength="100" gradient="0">
              <x14:cfvo type="autoMin"/>
              <x14:cfvo type="num">
                <xm:f>$G$106</xm:f>
              </x14:cfvo>
              <x14:negativeFillColor rgb="FFFF0000"/>
              <x14:axisColor rgb="FF000000"/>
            </x14:dataBar>
          </x14:cfRule>
          <xm:sqref>G96</xm:sqref>
        </x14:conditionalFormatting>
        <x14:conditionalFormatting xmlns:xm="http://schemas.microsoft.com/office/excel/2006/main">
          <x14:cfRule type="dataBar" id="{883E4AB0-7A0F-4E3E-8528-5106E74B1481}">
            <x14:dataBar minLength="0" maxLength="100" gradient="0">
              <x14:cfvo type="autoMin"/>
              <x14:cfvo type="num">
                <xm:f>$G$106</xm:f>
              </x14:cfvo>
              <x14:negativeFillColor rgb="FFFF0000"/>
              <x14:axisColor rgb="FF000000"/>
            </x14:dataBar>
          </x14:cfRule>
          <xm:sqref>G97</xm:sqref>
        </x14:conditionalFormatting>
        <x14:conditionalFormatting xmlns:xm="http://schemas.microsoft.com/office/excel/2006/main">
          <x14:cfRule type="dataBar" id="{DE905ACD-6D3E-455C-858F-3F7ADC167BB8}">
            <x14:dataBar minLength="0" maxLength="100" gradient="0">
              <x14:cfvo type="autoMin"/>
              <x14:cfvo type="num">
                <xm:f>$G$106</xm:f>
              </x14:cfvo>
              <x14:negativeFillColor rgb="FFFF0000"/>
              <x14:axisColor rgb="FF000000"/>
            </x14:dataBar>
          </x14:cfRule>
          <xm:sqref>G95</xm:sqref>
        </x14:conditionalFormatting>
        <x14:conditionalFormatting xmlns:xm="http://schemas.microsoft.com/office/excel/2006/main">
          <x14:cfRule type="dataBar" id="{0DBE86B9-4FFC-4872-A56C-2AB8007065FE}">
            <x14:dataBar minLength="0" maxLength="100" gradient="0">
              <x14:cfvo type="autoMin"/>
              <x14:cfvo type="num">
                <xm:f>$G$106</xm:f>
              </x14:cfvo>
              <x14:negativeFillColor rgb="FFFF0000"/>
              <x14:axisColor rgb="FF000000"/>
            </x14:dataBar>
          </x14:cfRule>
          <xm:sqref>G99</xm:sqref>
        </x14:conditionalFormatting>
        <x14:conditionalFormatting xmlns:xm="http://schemas.microsoft.com/office/excel/2006/main">
          <x14:cfRule type="dataBar" id="{DA7B891B-13A0-4D56-AF1B-5C39525F6867}">
            <x14:dataBar minLength="0" maxLength="100" gradient="0">
              <x14:cfvo type="autoMin"/>
              <x14:cfvo type="num">
                <xm:f>$G$106</xm:f>
              </x14:cfvo>
              <x14:negativeFillColor rgb="FFFF0000"/>
              <x14:axisColor rgb="FF000000"/>
            </x14:dataBar>
          </x14:cfRule>
          <xm:sqref>G101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T I a W W 5 U l u a e o A A A A + Q A A A B I A H A B D b 2 5 m a W c v U G F j a 2 F n Z S 5 4 b W w g o h g A K K A U A A A A A A A A A A A A A A A A A A A A A A A A A A A A h c 8 x D o I w G A X g q 5 D u t L U a I + S n D C Z O k h h N j G t T C j R C M b R Y 7 u b g k b y C J I q 6 O b 6 X b 3 j v c b t D O j R 1 c F W d 1 a 1 J 0 A x T F C g j 2 1 y b M k G 9 K 8 I V S j n s h D y L U g U j N j Y e b J 6 g y r l L T I j 3 H v s 5 b r u S M E p n 5 J R t D 7 J S j U A f r P / j U B v r h J E K c T i + x n C G o w V e M h Z h O l o g U w + Z N l / D x s m Y A v k p Y d 3 X r u 8 U L 7 p w s w c y R S D v G / w J U E s D B B Q A A g A I A E y G l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M h p Z b K I p H u A 4 A A A A R A A A A E w A c A E Z v c m 1 1 b G F z L 1 N l Y 3 R p b 2 4 x L m 0 g o h g A K K A U A A A A A A A A A A A A A A A A A A A A A A A A A A A A K 0 5 N L s n M z 1 M I h t C G 1 g B Q S w E C L Q A U A A I A C A B M h p Z b l S W 5 p 6 g A A A D 5 A A A A E g A A A A A A A A A A A A A A A A A A A A A A Q 2 9 u Z m l n L 1 B h Y 2 t h Z 2 U u e G 1 s U E s B A i 0 A F A A C A A g A T I a W W w / K 6 a u k A A A A 6 Q A A A B M A A A A A A A A A A A A A A A A A 9 A A A A F t D b 2 5 0 Z W 5 0 X 1 R 5 c G V z X S 5 4 b W x Q S w E C L Q A U A A I A C A B M h p Z b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C N z t x h o 8 Q E C 2 f N A t f E O E E A A A A A A C A A A A A A A D Z g A A w A A A A B A A A A C z t 3 4 7 8 U S 8 Y u m + l u g 6 s x z q A A A A A A S A A A C g A A A A E A A A A J F H O z y b B q l V R H B C M i X l I q R Q A A A A s X 0 Z n O F m o k S i f 0 B d R c U c 7 V t G m h m X F d F 2 w g B 1 m y H G D C 6 C l O 9 q j G I 6 5 6 z T g R J V a 6 D B 2 8 D w u d E I n w W 5 Y G N 0 S 6 Y e P G C Q O 0 Y c K c c N d t Z p Y 4 P 1 A R I U A A A A s 9 J B o b U k X G K z 3 s C u 7 c k p 9 a T D E x I = < / D a t a M a s h u p > 
</file>

<file path=customXml/itemProps1.xml><?xml version="1.0" encoding="utf-8"?>
<ds:datastoreItem xmlns:ds="http://schemas.openxmlformats.org/officeDocument/2006/customXml" ds:itemID="{1424BF5A-BED2-4F77-8F8E-EA34B6CA0C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Mairie de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DOIZELET Cyril</dc:creator>
  <cp:keywords/>
  <dc:description/>
  <cp:lastModifiedBy/>
  <cp:revision/>
  <dcterms:created xsi:type="dcterms:W3CDTF">2024-10-30T13:15:55Z</dcterms:created>
  <dcterms:modified xsi:type="dcterms:W3CDTF">2026-08-17T10:42:06Z</dcterms:modified>
  <cp:category/>
  <cp:contentStatus/>
</cp:coreProperties>
</file>