
<file path=[Content_Types].xml><?xml version="1.0" encoding="utf-8"?>
<Types xmlns="http://schemas.openxmlformats.org/package/2006/content-types">
  <Default Extension="bin" ContentType="application/vnd.openxmlformats-officedocument.spreadsheetml.printerSettings"/>
  <Override PartName="/xl/theme/theme1.xml" ContentType="application/vnd.openxmlformats-officedocument.theme+xml"/>
  <Override PartName="/xl/styles.xml" ContentType="application/vnd.openxmlformats-officedocument.spreadsheetml.styles+xml"/>
  <Override PartName="/xl/worksheets/sheet6.xml" ContentType="application/vnd.openxmlformats-officedocument.spreadsheetml.worksheet+xml"/>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4.xml" ContentType="application/vnd.openxmlformats-officedocument.spreadsheetml.worksheet+xml"/>
  <Override PartName="/xl/worksheets/sheet5.xml" ContentType="application/vnd.openxmlformats-officedocument.spreadsheetml.worksheet+xml"/>
  <Override PartName="/docProps/app.xml" ContentType="application/vnd.openxmlformats-officedocument.extended-properties+xml"/>
  <Override PartName="/xl/worksheets/sheet2.xml" ContentType="application/vnd.openxmlformats-officedocument.spreadsheetml.worksheet+xml"/>
  <Override PartName="/xl/worksheets/sheet3.xml" ContentType="application/vnd.openxmlformats-officedocument.spreadsheetml.worksheet+xml"/>
  <Override PartName="/xl/comments2.xml" ContentType="application/vnd.openxmlformats-officedocument.spreadsheetml.comments+xml"/>
  <Override PartName="/xl/drawings/drawing1.xml" ContentType="application/vnd.openxmlformats-officedocument.drawing+xml"/>
  <Override PartName="/xl/comments3.xml" ContentType="application/vnd.openxmlformats-officedocument.spreadsheetml.comments+xml"/>
  <Override PartName="/xl/worksheets/sheet1.xml" ContentType="application/vnd.openxmlformats-officedocument.spreadsheetml.worksheet+xml"/>
  <Default Extension="vml" ContentType="application/vnd.openxmlformats-officedocument.vmlDrawing"/>
  <Override PartName="/xl/comments1.xml" ContentType="application/vnd.openxmlformats-officedocument.spreadsheetml.comments+xml"/>
  <Override PartName="/xl/calcChain.xml" ContentType="application/vnd.openxmlformats-officedocument.spreadsheetml.calcChain+xml"/>
  <Override PartName="/xl/sharedStrings.xml" ContentType="application/vnd.openxmlformats-officedocument.spreadsheetml.sharedStrings+xml"/>
  <Override PartName="/docProps/core.xml" ContentType="application/vnd.openxmlformats-package.core-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4" lowestEdited="4" rupBuild="4507"/>
  <workbookPr codeName="ThisWorkbook"/>
  <bookViews>
    <workbookView showHorizontalScroll="0" xWindow="-945" yWindow="510" windowWidth="15600" windowHeight="10410" tabRatio="605" firstSheet="2" activeTab="2"/>
  </bookViews>
  <sheets>
    <sheet name="Feuil2" sheetId="1" state="hidden" r:id="rId1"/>
    <sheet name="1" sheetId="3" state="hidden" r:id="rId2"/>
    <sheet name="Simulateur" sheetId="8" r:id="rId3"/>
    <sheet name="Feuil3" sheetId="9" state="hidden" r:id="rId4"/>
    <sheet name=" BS GED" sheetId="10" state="hidden" r:id="rId5"/>
    <sheet name="BS AM" sheetId="14" state="hidden" r:id="rId6"/>
  </sheets>
  <calcPr calcId="125725" fullPrecision="0"/>
</workbook>
</file>

<file path=xl/calcChain.xml><?xml version="1.0" encoding="utf-8"?>
<calcChain xmlns="http://schemas.openxmlformats.org/spreadsheetml/2006/main">
  <c r="C1" i="14"/>
  <c r="D14" s="1"/>
  <c r="I14" s="1"/>
  <c r="G18" i="8"/>
  <c r="C1" i="10"/>
  <c r="D13" s="1"/>
  <c r="I13" s="1"/>
  <c r="D18" i="8"/>
  <c r="B1" i="10" s="1"/>
  <c r="E26"/>
  <c r="E27" s="1"/>
  <c r="B2" s="1"/>
  <c r="H18" i="8"/>
  <c r="L1" i="14"/>
  <c r="N20" s="1"/>
  <c r="P20" s="1"/>
  <c r="G25" i="10"/>
  <c r="G24"/>
  <c r="E25"/>
  <c r="O25" i="14"/>
  <c r="Q26"/>
  <c r="O26"/>
  <c r="Q25"/>
  <c r="G26"/>
  <c r="G25"/>
  <c r="E26"/>
  <c r="E28" s="1"/>
  <c r="E25"/>
  <c r="B1"/>
  <c r="D17" s="1"/>
  <c r="J15" i="8"/>
  <c r="K28" i="9"/>
  <c r="J57" i="8" s="1"/>
  <c r="J58" s="1"/>
  <c r="J60" s="1"/>
  <c r="E30" i="3"/>
  <c r="E18"/>
  <c r="E19" s="1"/>
  <c r="K31" i="9"/>
  <c r="K30"/>
  <c r="K29"/>
  <c r="K15" i="3"/>
  <c r="E34"/>
  <c r="E35" s="1"/>
  <c r="N21"/>
  <c r="N22"/>
  <c r="N23"/>
  <c r="I38"/>
  <c r="I37"/>
  <c r="F73"/>
  <c r="E73"/>
  <c r="H20"/>
  <c r="F17"/>
  <c r="F16"/>
  <c r="F56"/>
  <c r="E4"/>
  <c r="F14"/>
  <c r="E7"/>
  <c r="E8"/>
  <c r="E9"/>
  <c r="F76" s="1"/>
  <c r="E10"/>
  <c r="E65"/>
  <c r="E66" s="1"/>
  <c r="E6"/>
  <c r="E5"/>
  <c r="F64" s="1"/>
  <c r="E3"/>
  <c r="F51" s="1"/>
  <c r="I20"/>
  <c r="E34" i="9"/>
  <c r="F34"/>
  <c r="H34"/>
  <c r="I34"/>
  <c r="K34"/>
  <c r="E20"/>
  <c r="F20"/>
  <c r="F21"/>
  <c r="F22"/>
  <c r="E21"/>
  <c r="E22"/>
  <c r="E9"/>
  <c r="F9"/>
  <c r="H9"/>
  <c r="I9"/>
  <c r="E10"/>
  <c r="F10"/>
  <c r="H10"/>
  <c r="I10"/>
  <c r="E11"/>
  <c r="F11"/>
  <c r="H11"/>
  <c r="I11"/>
  <c r="E12"/>
  <c r="F12"/>
  <c r="H12"/>
  <c r="I12"/>
  <c r="E13"/>
  <c r="F13"/>
  <c r="H13"/>
  <c r="I13"/>
  <c r="E14"/>
  <c r="F14"/>
  <c r="H14"/>
  <c r="I14"/>
  <c r="E15"/>
  <c r="F15"/>
  <c r="H15"/>
  <c r="I15"/>
  <c r="E16"/>
  <c r="F16"/>
  <c r="H16"/>
  <c r="I16"/>
  <c r="E18" i="8"/>
  <c r="I15" i="3"/>
  <c r="I25"/>
  <c r="H15"/>
  <c r="H25"/>
  <c r="J81"/>
  <c r="I6" i="9"/>
  <c r="I2"/>
  <c r="Q27" i="14"/>
  <c r="Q28"/>
  <c r="O28"/>
  <c r="I5" i="9"/>
  <c r="F26"/>
  <c r="H2"/>
  <c r="E26"/>
  <c r="F17"/>
  <c r="E52" i="8" s="1"/>
  <c r="E58" s="1"/>
  <c r="E60" s="1"/>
  <c r="F25" i="9"/>
  <c r="D9" i="14"/>
  <c r="F9" s="1"/>
  <c r="F61" i="3"/>
  <c r="I7" i="9"/>
  <c r="F65" i="3"/>
  <c r="F66"/>
  <c r="N6" i="14"/>
  <c r="R6" s="1"/>
  <c r="N11"/>
  <c r="P11" s="1"/>
  <c r="N23"/>
  <c r="N13"/>
  <c r="P13" s="1"/>
  <c r="N19"/>
  <c r="R19" s="1"/>
  <c r="G27"/>
  <c r="G28"/>
  <c r="D10"/>
  <c r="H10" s="1"/>
  <c r="I10" s="1"/>
  <c r="H14" s="1"/>
  <c r="D16"/>
  <c r="F16" s="1"/>
  <c r="E76" i="3"/>
  <c r="H9" i="14"/>
  <c r="H54" i="3"/>
  <c r="H21"/>
  <c r="H76"/>
  <c r="I76"/>
  <c r="H49"/>
  <c r="E59"/>
  <c r="K76"/>
  <c r="H19"/>
  <c r="H24"/>
  <c r="F48"/>
  <c r="I49"/>
  <c r="I53"/>
  <c r="I52"/>
  <c r="H26"/>
  <c r="H47" s="1"/>
  <c r="D87" s="1"/>
  <c r="I19"/>
  <c r="I21"/>
  <c r="I28" s="1"/>
  <c r="E23" i="9"/>
  <c r="E25" s="1"/>
  <c r="F23"/>
  <c r="F19" i="3"/>
  <c r="F58" s="1"/>
  <c r="F72" s="1"/>
  <c r="F74" s="1"/>
  <c r="G26" i="10"/>
  <c r="G27"/>
  <c r="B3"/>
  <c r="P19" i="14"/>
  <c r="F10"/>
  <c r="H28" i="3"/>
  <c r="H31"/>
  <c r="H32" s="1"/>
  <c r="I24"/>
  <c r="F35" i="9" l="1"/>
  <c r="K35"/>
  <c r="J66" i="8" s="1"/>
  <c r="I31" i="3"/>
  <c r="M36"/>
  <c r="E26"/>
  <c r="E47" s="1"/>
  <c r="E28"/>
  <c r="E25"/>
  <c r="E24"/>
  <c r="H17" i="14"/>
  <c r="F17"/>
  <c r="H16"/>
  <c r="F59" i="3"/>
  <c r="I26"/>
  <c r="D20" i="14"/>
  <c r="F20" s="1"/>
  <c r="K67" i="3"/>
  <c r="I48"/>
  <c r="I54"/>
  <c r="H51"/>
  <c r="E48"/>
  <c r="H53"/>
  <c r="F53"/>
  <c r="I55"/>
  <c r="I51"/>
  <c r="H55"/>
  <c r="K70"/>
  <c r="D19" i="14"/>
  <c r="D7"/>
  <c r="H7" s="1"/>
  <c r="D21"/>
  <c r="F21" s="1"/>
  <c r="D11"/>
  <c r="D6"/>
  <c r="H6" s="1"/>
  <c r="N12"/>
  <c r="N21"/>
  <c r="P21" s="1"/>
  <c r="N17"/>
  <c r="N9"/>
  <c r="R11"/>
  <c r="E52" i="3"/>
  <c r="H52"/>
  <c r="D8" i="14"/>
  <c r="H8" s="1"/>
  <c r="F77" i="3"/>
  <c r="F78" s="1"/>
  <c r="F79" s="1"/>
  <c r="H48"/>
  <c r="D18" i="14"/>
  <c r="F55" i="3"/>
  <c r="F54"/>
  <c r="E50"/>
  <c r="E53"/>
  <c r="F49"/>
  <c r="I50"/>
  <c r="I57" s="1"/>
  <c r="I58" s="1"/>
  <c r="K69"/>
  <c r="E61"/>
  <c r="N15" i="14"/>
  <c r="N10"/>
  <c r="N8"/>
  <c r="R8" s="1"/>
  <c r="N7"/>
  <c r="R7" s="1"/>
  <c r="N16"/>
  <c r="K68" i="3"/>
  <c r="D23" i="14"/>
  <c r="D13"/>
  <c r="D22"/>
  <c r="F22" s="1"/>
  <c r="F50" i="3"/>
  <c r="E54"/>
  <c r="E55"/>
  <c r="F52"/>
  <c r="E49"/>
  <c r="H50"/>
  <c r="E60"/>
  <c r="E62" s="1"/>
  <c r="E64" s="1"/>
  <c r="D15" i="14"/>
  <c r="D12"/>
  <c r="N18"/>
  <c r="N22"/>
  <c r="P22" s="1"/>
  <c r="E51" i="3"/>
  <c r="F60"/>
  <c r="E39"/>
  <c r="D8" i="10"/>
  <c r="D7"/>
  <c r="D5"/>
  <c r="H5" s="1"/>
  <c r="D10"/>
  <c r="D12"/>
  <c r="D21"/>
  <c r="D20"/>
  <c r="F20" s="1"/>
  <c r="D18"/>
  <c r="F18" s="1"/>
  <c r="D11"/>
  <c r="D19"/>
  <c r="F19" s="1"/>
  <c r="D6"/>
  <c r="H6" s="1"/>
  <c r="D4"/>
  <c r="H4" s="1"/>
  <c r="D14"/>
  <c r="D15"/>
  <c r="D9"/>
  <c r="D17"/>
  <c r="D16"/>
  <c r="F12" i="14" l="1"/>
  <c r="H12"/>
  <c r="R10"/>
  <c r="P10"/>
  <c r="E58" i="3"/>
  <c r="E31"/>
  <c r="E32" s="1"/>
  <c r="F36" i="9"/>
  <c r="F37" s="1"/>
  <c r="E66" i="8"/>
  <c r="E67" s="1"/>
  <c r="E68" s="1"/>
  <c r="P18" i="14"/>
  <c r="R18"/>
  <c r="F80" i="3"/>
  <c r="F81" s="1"/>
  <c r="F82" s="1"/>
  <c r="H57"/>
  <c r="F62"/>
  <c r="I32"/>
  <c r="F13" i="14"/>
  <c r="H13"/>
  <c r="H23" s="1"/>
  <c r="H5" i="9" s="1"/>
  <c r="G27" i="8" s="1"/>
  <c r="F18" i="14"/>
  <c r="H18"/>
  <c r="R17"/>
  <c r="P17"/>
  <c r="F11"/>
  <c r="H11"/>
  <c r="I47" i="3"/>
  <c r="D86" s="1"/>
  <c r="K71"/>
  <c r="K72" s="1"/>
  <c r="K74" s="1"/>
  <c r="R12" i="14"/>
  <c r="P12"/>
  <c r="F15"/>
  <c r="H15"/>
  <c r="R16"/>
  <c r="P16"/>
  <c r="R15"/>
  <c r="P15"/>
  <c r="R9"/>
  <c r="R23" s="1"/>
  <c r="L5" i="9" s="1"/>
  <c r="P9" i="14"/>
  <c r="P23" s="1"/>
  <c r="L6" i="9" s="1"/>
  <c r="F19" i="14"/>
  <c r="H19"/>
  <c r="M37" i="3"/>
  <c r="M38" s="1"/>
  <c r="N31"/>
  <c r="N32" s="1"/>
  <c r="J67" i="8"/>
  <c r="J68" s="1"/>
  <c r="F15" i="10"/>
  <c r="H15"/>
  <c r="H7"/>
  <c r="F7"/>
  <c r="H9"/>
  <c r="F9"/>
  <c r="F17"/>
  <c r="H17"/>
  <c r="H10"/>
  <c r="F10"/>
  <c r="H16"/>
  <c r="F16"/>
  <c r="H14"/>
  <c r="F14"/>
  <c r="F11"/>
  <c r="H11"/>
  <c r="F12"/>
  <c r="H12"/>
  <c r="H8"/>
  <c r="F8"/>
  <c r="H18" i="9" l="1"/>
  <c r="G52" i="8" s="1"/>
  <c r="G30"/>
  <c r="L7" i="9"/>
  <c r="H33" i="8" s="1"/>
  <c r="C72" s="1"/>
  <c r="H27"/>
  <c r="K77" i="3"/>
  <c r="K80" s="1"/>
  <c r="F23" i="14"/>
  <c r="H6" i="9" s="1"/>
  <c r="H7" s="1"/>
  <c r="G33" i="8" s="1"/>
  <c r="C73" s="1"/>
  <c r="H58" i="3"/>
  <c r="H72"/>
  <c r="H74" s="1"/>
  <c r="I72"/>
  <c r="I74" s="1"/>
  <c r="I9" i="10"/>
  <c r="H13" s="1"/>
  <c r="H21" s="1"/>
  <c r="E5" i="9" s="1"/>
  <c r="D27" i="8" s="1"/>
  <c r="F21" i="10"/>
  <c r="H30" i="8" l="1"/>
  <c r="I18" i="9"/>
  <c r="H52" i="8" s="1"/>
  <c r="H31"/>
  <c r="H75" i="3"/>
  <c r="H77" s="1"/>
  <c r="H80" s="1"/>
  <c r="H81"/>
  <c r="H82" s="1"/>
  <c r="I81"/>
  <c r="I82" s="1"/>
  <c r="I75"/>
  <c r="I77" s="1"/>
  <c r="I80" s="1"/>
  <c r="K81"/>
  <c r="K82" s="1"/>
  <c r="G31" i="8"/>
  <c r="G58" s="1"/>
  <c r="G60" s="1"/>
  <c r="H33" i="9" s="1"/>
  <c r="H35" s="1"/>
  <c r="G66" i="8" s="1"/>
  <c r="G67" s="1"/>
  <c r="G68" s="1"/>
  <c r="D30"/>
  <c r="D52"/>
  <c r="E6" i="9"/>
  <c r="E7"/>
  <c r="H58" i="8" l="1"/>
  <c r="H60" s="1"/>
  <c r="D33"/>
  <c r="D31"/>
  <c r="I33" i="9" l="1"/>
  <c r="I35" s="1"/>
  <c r="H66" i="8" s="1"/>
  <c r="H67" s="1"/>
  <c r="H68" s="1"/>
  <c r="E36" i="3"/>
  <c r="E37" s="1"/>
  <c r="D84" s="1"/>
  <c r="E72" s="1"/>
  <c r="E74" s="1"/>
  <c r="E77" s="1"/>
  <c r="F22" i="10" l="1"/>
  <c r="F23" s="1"/>
  <c r="C69" i="8"/>
  <c r="D58" s="1"/>
  <c r="D60" s="1"/>
  <c r="E35" i="9" s="1"/>
  <c r="E36" s="1"/>
  <c r="E37" s="1"/>
  <c r="E78" i="3"/>
  <c r="E79" s="1"/>
  <c r="E80"/>
  <c r="E81" s="1"/>
  <c r="E82" s="1"/>
  <c r="C44" i="8" l="1"/>
  <c r="D66"/>
  <c r="D67" s="1"/>
  <c r="D68" s="1"/>
</calcChain>
</file>

<file path=xl/comments1.xml><?xml version="1.0" encoding="utf-8"?>
<comments xmlns="http://schemas.openxmlformats.org/spreadsheetml/2006/main">
  <authors>
    <author>nmainge</author>
    <author>PARIS SERVICES FAMILLES</author>
  </authors>
  <commentList>
    <comment ref="D9" authorId="0">
      <text>
        <r>
          <rPr>
            <b/>
            <sz val="9"/>
            <color indexed="81"/>
            <rFont val="Tahoma"/>
            <family val="2"/>
          </rPr>
          <t>nmainge:</t>
        </r>
        <r>
          <rPr>
            <sz val="9"/>
            <color indexed="81"/>
            <rFont val="Tahoma"/>
            <family val="2"/>
          </rPr>
          <t xml:space="preserve">
Infos site du service public</t>
        </r>
      </text>
    </comment>
    <comment ref="E30" authorId="1">
      <text>
        <r>
          <rPr>
            <sz val="10"/>
            <color indexed="81"/>
            <rFont val="Tahoma"/>
            <family val="2"/>
          </rPr>
          <t xml:space="preserve">Tarif sur 11 mois
</t>
        </r>
      </text>
    </comment>
  </commentList>
</comments>
</file>

<file path=xl/comments2.xml><?xml version="1.0" encoding="utf-8"?>
<comments xmlns="http://schemas.openxmlformats.org/spreadsheetml/2006/main">
  <authors>
    <author>PSF</author>
    <author>DH</author>
  </authors>
  <commentList>
    <comment ref="E7" authorId="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F14" authorId="1">
      <text>
        <r>
          <rPr>
            <b/>
            <sz val="8"/>
            <color indexed="81"/>
            <rFont val="Tahoma"/>
            <family val="2"/>
          </rPr>
          <t>Tarif horaire moyen d'une structure prestataire</t>
        </r>
        <r>
          <rPr>
            <sz val="8"/>
            <color indexed="81"/>
            <rFont val="Tahoma"/>
            <family val="2"/>
          </rPr>
          <t xml:space="preserve">
</t>
        </r>
      </text>
    </comment>
    <comment ref="H14" authorId="1">
      <text>
        <r>
          <rPr>
            <b/>
            <sz val="8"/>
            <color indexed="81"/>
            <rFont val="Tahoma"/>
            <family val="2"/>
          </rPr>
          <t>Tarif journalier minimum pour 9 heures par jour. Voir avec le service social de la PMI (coordonnées dans les numéros utiles) les tarifs pratiqués dans votre arrondissemnt</t>
        </r>
        <r>
          <rPr>
            <sz val="8"/>
            <color indexed="81"/>
            <rFont val="Tahoma"/>
            <family val="2"/>
          </rPr>
          <t xml:space="preserve">
</t>
        </r>
      </text>
    </comment>
    <comment ref="I14" authorId="0">
      <text>
        <r>
          <rPr>
            <b/>
            <sz val="8"/>
            <color indexed="81"/>
            <rFont val="Tahoma"/>
            <family val="2"/>
          </rPr>
          <t>Tarif maximum à appliquerafin d'obtenir le versement de la CAF : 47,65 euros</t>
        </r>
        <r>
          <rPr>
            <sz val="8"/>
            <color indexed="81"/>
            <rFont val="Tahoma"/>
            <family val="2"/>
          </rPr>
          <t xml:space="preserve">
</t>
        </r>
      </text>
    </comment>
    <comment ref="E16" authorId="1">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E17" authorId="1">
      <text>
        <r>
          <rPr>
            <b/>
            <sz val="8"/>
            <color indexed="81"/>
            <rFont val="Tahoma"/>
            <family val="2"/>
          </rPr>
          <t>Au maximum 8 heures par semaine soit 34,67 par mois</t>
        </r>
        <r>
          <rPr>
            <sz val="8"/>
            <color indexed="81"/>
            <rFont val="Tahoma"/>
            <family val="2"/>
          </rPr>
          <t xml:space="preserve">
</t>
        </r>
      </text>
    </comment>
    <comment ref="I20" authorId="1">
      <text>
        <r>
          <rPr>
            <b/>
            <sz val="8"/>
            <color indexed="81"/>
            <rFont val="Tahoma"/>
            <family val="2"/>
          </rPr>
          <t xml:space="preserve">
_ {{Indemnité d'entretien}} : 
montant minimum journalier = 2,73 €. Est fixé en commun accord entre l'assistante maternelle et l'employeur. Sur Paris, elle est en moyenne d'un Smic par jour.</t>
        </r>
        <r>
          <rPr>
            <sz val="8"/>
            <color indexed="81"/>
            <rFont val="Tahoma"/>
            <family val="2"/>
          </rPr>
          <t xml:space="preserve">
</t>
        </r>
      </text>
    </comment>
    <comment ref="E24" authorId="1">
      <text>
        <r>
          <rPr>
            <b/>
            <sz val="8"/>
            <color indexed="81"/>
            <rFont val="Tahoma"/>
            <family val="2"/>
          </rPr>
          <t xml:space="preserve"> Il peut y avoir une différence de plusieurs centimes avec les calculs de Pajemploi  qui effectue un calcul très compliqué en reconstituant la salaire brut à partir du net.</t>
        </r>
        <r>
          <rPr>
            <sz val="8"/>
            <color indexed="81"/>
            <rFont val="Tahoma"/>
            <family val="2"/>
          </rPr>
          <t xml:space="preserve">
</t>
        </r>
      </text>
    </comment>
    <comment ref="E30" authorId="1">
      <text>
        <r>
          <rPr>
            <b/>
            <sz val="8"/>
            <color indexed="81"/>
            <rFont val="Tahoma"/>
            <family val="2"/>
          </rPr>
          <t xml:space="preserve">_ {{Frais de transport}}
L'employeur doit rembourser la moitié des titres d'abonnement de transport. Si la salariée travaille moins de 20 heures par semaine, le remboursement se fera au prorata.
- {Attention : en cas d'absence, les titres de transport doivent être remboursés intégralement dès lors qu'ils ont été utilisés une fois.} 
_ La carte orange  : Montants des coupons mensuels au 1er juillet 2011(calculés sur 11 mois)
- Zones 1-2 57,60 € 
- Zones 1-3 74,40  € 
- Zones 1-4 90,80 € 
- Zones 1-5 101,13 € 
</t>
        </r>
      </text>
    </comment>
    <comment ref="E73" authorId="1">
      <text>
        <r>
          <rPr>
            <b/>
            <sz val="8"/>
            <color indexed="81"/>
            <rFont val="Tahoma"/>
            <family val="2"/>
          </rPr>
          <t>frais mensuels</t>
        </r>
      </text>
    </comment>
    <comment ref="F73" authorId="1">
      <text>
        <r>
          <rPr>
            <b/>
            <sz val="8"/>
            <color indexed="81"/>
            <rFont val="Tahoma"/>
            <family val="2"/>
          </rPr>
          <t>adhésion annuelle</t>
        </r>
        <r>
          <rPr>
            <sz val="8"/>
            <color indexed="81"/>
            <rFont val="Tahoma"/>
            <family val="2"/>
          </rPr>
          <t xml:space="preserve">
</t>
        </r>
      </text>
    </comment>
  </commentList>
</comments>
</file>

<file path=xl/comments3.xml><?xml version="1.0" encoding="utf-8"?>
<comments xmlns="http://schemas.openxmlformats.org/spreadsheetml/2006/main">
  <authors>
    <author>PSF</author>
    <author>DH</author>
    <author xml:space="preserve">  Claire Richier</author>
  </authors>
  <commentList>
    <comment ref="D6" authorId="0">
      <text>
        <r>
          <rPr>
            <b/>
            <sz val="8"/>
            <color indexed="81"/>
            <rFont val="Tahoma"/>
            <family val="2"/>
          </rPr>
          <t>Votre Caf tient compte de vos revenus, et des revenus de la personne avec laquelle vous vivez en couple.
Elle retient :
    * tous les revenus imposables perçus en France
    * les indemnités journalières maladie, maternité, accident du travail, maladie professionnelle
    * les revenus perçus hors de France, et aussi, ceux versés par une organisation internationale
Elle effectue certaines déductions fiscales habituelles (10% sur les salaires et les pensions, etc.).
Selon votre situation (chômage, admission à la retraite, etc.), elle fait des abattements ou neutralise certaines catégories de revenus.
Notez, dans certaines situations, la Caf évalue forfaitairement vos ressources à partir de votre revenu mensuel.</t>
        </r>
        <r>
          <rPr>
            <sz val="8"/>
            <color indexed="81"/>
            <rFont val="Tahoma"/>
            <family val="2"/>
          </rPr>
          <t xml:space="preserve">
</t>
        </r>
      </text>
    </comment>
    <comment ref="D12" authorId="1">
      <text>
        <r>
          <rPr>
            <b/>
            <sz val="8"/>
            <color indexed="81"/>
            <rFont val="Tahoma"/>
            <family val="2"/>
          </rPr>
          <t xml:space="preserve">Salaire brut horaire minimum conventionnel Echelle 3 : 10,40 €
</t>
        </r>
        <r>
          <rPr>
            <sz val="8"/>
            <color indexed="81"/>
            <rFont val="Tahoma"/>
            <family val="2"/>
          </rPr>
          <t xml:space="preserve">
</t>
        </r>
      </text>
    </comment>
    <comment ref="E12" authorId="1">
      <text>
        <r>
          <rPr>
            <b/>
            <sz val="8"/>
            <color indexed="81"/>
            <rFont val="Tahoma"/>
            <family val="2"/>
          </rPr>
          <t>Tarif horaire moyen d'une structure prestataire</t>
        </r>
        <r>
          <rPr>
            <sz val="8"/>
            <color indexed="81"/>
            <rFont val="Tahoma"/>
            <family val="2"/>
          </rPr>
          <t xml:space="preserve">
</t>
        </r>
      </text>
    </comment>
    <comment ref="G12" authorId="1">
      <text>
        <r>
          <rPr>
            <b/>
            <sz val="8"/>
            <color indexed="81"/>
            <rFont val="Tahoma"/>
            <family val="2"/>
          </rPr>
          <t>Salaire horaire brut minimal : 2,82 €/h
Tarif journalier minimum pour 9 heures par jour : 25,38 €.
Voir avec le service social de la PMI (coordonnées dans les numéros utiles) les tarifs pratiqués dans votre arrondissement</t>
        </r>
      </text>
    </comment>
    <comment ref="H12" authorId="0">
      <text>
        <r>
          <rPr>
            <b/>
            <sz val="8"/>
            <color indexed="81"/>
            <rFont val="Tahoma"/>
            <family val="2"/>
          </rPr>
          <t xml:space="preserve">Tarif maximum à appliquer pour obtenir le complément libre choix de mode de garde, l'allocation de la CAF : 50,15 euros soit 39,12 euros
</t>
        </r>
        <r>
          <rPr>
            <sz val="8"/>
            <color indexed="81"/>
            <rFont val="Tahoma"/>
            <family val="2"/>
          </rPr>
          <t xml:space="preserve">
</t>
        </r>
      </text>
    </comment>
    <comment ref="A14" authorId="2">
      <text>
        <r>
          <rPr>
            <sz val="9"/>
            <color indexed="81"/>
            <rFont val="Tahoma"/>
            <family val="2"/>
          </rPr>
          <t>Y compris les heures de présence responsable reconverties d'un(e) garde d'enfants à domicile en garde simple
Arrondir au nombre entier immédiatement supérieur pour des raisons déclaratives au centre Pajemploi.</t>
        </r>
      </text>
    </comment>
    <comment ref="D14" authorId="1">
      <text>
        <r>
          <rPr>
            <b/>
            <sz val="8"/>
            <color indexed="81"/>
            <rFont val="Tahoma"/>
            <family val="2"/>
          </rPr>
          <t>&lt;= 174 heures. Au-delà ce sont des heures supplémentaires</t>
        </r>
        <r>
          <rPr>
            <sz val="8"/>
            <color indexed="81"/>
            <rFont val="Tahoma"/>
            <family val="2"/>
          </rPr>
          <t xml:space="preserve">
Pour calculer la durée de travail mensuel à partir de la durée hebdomadaire, vous multipliez la durée de travail hebdomadaire par 52 (semaines) et vous divisez par 12 (mois)</t>
        </r>
      </text>
    </comment>
    <comment ref="G14" authorId="2">
      <text>
        <r>
          <rPr>
            <sz val="9"/>
            <color indexed="81"/>
            <rFont val="Tahoma"/>
            <family val="2"/>
          </rPr>
          <t>Le nombre d'heures normales se calcule ainsi : nombre d'heures d'accueil par semaine (dans la limite de 45h ; au-delà, ce sont des heures majorées) x nombre de semaines d'accueil / 12</t>
        </r>
      </text>
    </comment>
    <comment ref="A15" authorId="2">
      <text>
        <r>
          <rPr>
            <sz val="9"/>
            <color indexed="81"/>
            <rFont val="Tahoma"/>
            <family val="2"/>
          </rPr>
          <t xml:space="preserve">Arrondir au nombre entier immédiatement supérieur pour des raisons déclaratives au centre Pajemploi,
Majoration pour une garde d'enfant à domicile : 25 %
Majoration pour l'Ass.maternel(le)s : fait l'objet d'une négocitaion entre les parties
</t>
        </r>
      </text>
    </comment>
    <comment ref="D15" authorId="1">
      <text>
        <r>
          <rPr>
            <sz val="8"/>
            <color indexed="81"/>
            <rFont val="Tahoma"/>
            <family val="2"/>
          </rPr>
          <t xml:space="preserve">Au maximum 8 heures par semaine soit 35 heures par mois
</t>
        </r>
      </text>
    </comment>
    <comment ref="G17" authorId="2">
      <text>
        <r>
          <rPr>
            <sz val="9"/>
            <color indexed="81"/>
            <rFont val="Tahoma"/>
            <family val="2"/>
          </rPr>
          <t>Le taux de majoration est librement fixé entre les parties.</t>
        </r>
      </text>
    </comment>
    <comment ref="G19" authorId="2">
      <text>
        <r>
          <rPr>
            <sz val="9"/>
            <color indexed="81"/>
            <rFont val="Tahoma"/>
            <family val="2"/>
          </rPr>
          <t>au minimum 3,08 €/journée de 9 heures</t>
        </r>
      </text>
    </comment>
    <comment ref="D29" authorId="1">
      <text>
        <r>
          <rPr>
            <b/>
            <u/>
            <sz val="8"/>
            <color indexed="81"/>
            <rFont val="Tahoma"/>
            <family val="2"/>
          </rPr>
          <t>Frais de transport</t>
        </r>
        <r>
          <rPr>
            <b/>
            <sz val="8"/>
            <color indexed="81"/>
            <rFont val="Tahoma"/>
            <family val="2"/>
          </rPr>
          <t xml:space="preserve">
L'employeur doit rembourser la moitié des titres d'abonnement de transport. Si la salariée travaille moins de 17,5 heures par semaine, le remboursement se fera au prorata.
ATTENTION : en cas d'absence, les titres de transport doivent être remboursés intégralement dès lors qu'ils ont été utilisés une fois.
</t>
        </r>
        <r>
          <rPr>
            <b/>
            <u/>
            <sz val="8"/>
            <color indexed="81"/>
            <rFont val="Tahoma"/>
            <family val="2"/>
          </rPr>
          <t xml:space="preserve">INFORMATION </t>
        </r>
        <r>
          <rPr>
            <b/>
            <sz val="8"/>
            <color indexed="81"/>
            <rFont val="Tahoma"/>
            <family val="2"/>
          </rPr>
          <t xml:space="preserve">: la prise en charge du titre de transport est effectuée sur la base d'un remboursement du passe navigo mensuel calculé sur 11 mois. Pour de plus amples renseignements nous vous invitons à consulter le site de la RATP.
</t>
        </r>
      </text>
    </comment>
    <comment ref="G30" authorId="2">
      <text>
        <r>
          <rPr>
            <sz val="9"/>
            <color indexed="81"/>
            <rFont val="Tahoma"/>
            <family val="2"/>
          </rPr>
          <t>le montant mensuel de l'indemnité d'entretien (ajouté au salaire mensuel) est ici une estimation : l'indemité d'entretien est versée chaque mois en fonction du nombre réel de journées d'accueil</t>
        </r>
      </text>
    </comment>
    <comment ref="D59" authorId="1">
      <text>
        <r>
          <rPr>
            <b/>
            <sz val="8"/>
            <color indexed="81"/>
            <rFont val="Tahoma"/>
            <family val="2"/>
          </rPr>
          <t>Frais mensuels</t>
        </r>
      </text>
    </comment>
    <comment ref="E59" authorId="1">
      <text>
        <r>
          <rPr>
            <b/>
            <sz val="8"/>
            <color indexed="81"/>
            <rFont val="Tahoma"/>
            <family val="2"/>
          </rPr>
          <t>Adhésion annuelle</t>
        </r>
        <r>
          <rPr>
            <sz val="8"/>
            <color indexed="81"/>
            <rFont val="Tahoma"/>
            <family val="2"/>
          </rPr>
          <t xml:space="preserve">
</t>
        </r>
      </text>
    </comment>
    <comment ref="G60" authorId="2">
      <text>
        <r>
          <rPr>
            <sz val="9"/>
            <color indexed="81"/>
            <rFont val="Tahoma"/>
            <family val="2"/>
          </rPr>
          <t>Les indemnités d'entretien sont incluses dans les dépenses ouvrant droit à crédit d'impôt, dans la limite de 2,99€/journée d'accueil</t>
        </r>
      </text>
    </comment>
    <comment ref="H60" authorId="2">
      <text>
        <r>
          <rPr>
            <sz val="9"/>
            <color indexed="81"/>
            <rFont val="Tahoma"/>
            <family val="2"/>
          </rPr>
          <t>Les indemnités d'entretien sont incluses dans les dépenses ouvrant droit à crédit d'impôt, dans la limite de 2,99€/journée d'accueil</t>
        </r>
      </text>
    </comment>
  </commentList>
</comments>
</file>

<file path=xl/sharedStrings.xml><?xml version="1.0" encoding="utf-8"?>
<sst xmlns="http://schemas.openxmlformats.org/spreadsheetml/2006/main" count="229" uniqueCount="159">
  <si>
    <t xml:space="preserve">Nombre d'heures effectives </t>
  </si>
  <si>
    <t>Nombre d'heures supplémentaires</t>
  </si>
  <si>
    <t>Salaire brut mensuel</t>
  </si>
  <si>
    <t>Cotisations salariales + CSG + CRDS</t>
  </si>
  <si>
    <t xml:space="preserve">Cotisations patronales </t>
  </si>
  <si>
    <t>Salaire net à verser</t>
  </si>
  <si>
    <t>PAJE</t>
  </si>
  <si>
    <t>Impôt sur le revenu</t>
  </si>
  <si>
    <t>Versement mensuel</t>
  </si>
  <si>
    <t>1 ENFANT</t>
  </si>
  <si>
    <t>2 ENFANTS</t>
  </si>
  <si>
    <t>3 ENFANTS</t>
  </si>
  <si>
    <t>Plus 50% ou 25% (garde partagée) du prix du titre de transport</t>
  </si>
  <si>
    <t>ASSISTANTE MATERNELLE</t>
  </si>
  <si>
    <t>Nbre de jours</t>
  </si>
  <si>
    <t>Salaire journalier maxi brut</t>
  </si>
  <si>
    <t>Taux horaire du SMIC</t>
  </si>
  <si>
    <t>Nombre de jours</t>
  </si>
  <si>
    <t>Coût mensuel de la crèche</t>
  </si>
  <si>
    <t>1 enfant</t>
  </si>
  <si>
    <t>2 enfants</t>
  </si>
  <si>
    <t xml:space="preserve">3 enfants </t>
  </si>
  <si>
    <t>4 enfants et plus</t>
  </si>
  <si>
    <t>Auxiliaire Parentale</t>
  </si>
  <si>
    <t xml:space="preserve">Plafond Paje / cotisations </t>
  </si>
  <si>
    <t>Total cotisations avant abattement</t>
  </si>
  <si>
    <t>Paje + 3 ans</t>
  </si>
  <si>
    <t>Paje - 3 ans</t>
  </si>
  <si>
    <t>Familiale                             % des revenus</t>
  </si>
  <si>
    <t>Plafond des dépenses dont on tient compte pour la réduction ou le crédit d'impôt pour 1 enfant</t>
  </si>
  <si>
    <t>Plafond des dépenses dont on tient compte pour la réduction ou le crédit d'impôt pour 2 enfants et +</t>
  </si>
  <si>
    <t>Réduction ou crédit d'impôt maxi</t>
  </si>
  <si>
    <t>Montant du crédit d'impôt</t>
  </si>
  <si>
    <t>Total dépenses annuelles</t>
  </si>
  <si>
    <t>&lt; 3 ans :</t>
  </si>
  <si>
    <t>&gt; 3 ans :</t>
  </si>
  <si>
    <t>Collective-des revenus avec abattement</t>
  </si>
  <si>
    <t>Paje - 3 ans Prestataire</t>
  </si>
  <si>
    <t>Tarif horaire par association prestataire</t>
  </si>
  <si>
    <t xml:space="preserve">Dépenses annuelles après réduction ou crédit d'impôt </t>
  </si>
  <si>
    <t xml:space="preserve">Salaire net à verser plus cotisations </t>
  </si>
  <si>
    <t xml:space="preserve">Dépenses effectives mensuelles </t>
  </si>
  <si>
    <r>
      <t>OU</t>
    </r>
    <r>
      <rPr>
        <sz val="8.5"/>
        <rFont val="Arial"/>
        <family val="2"/>
      </rPr>
      <t xml:space="preserve"> montant de la réduction d'impôt</t>
    </r>
  </si>
  <si>
    <t>Coût mensuel final</t>
  </si>
  <si>
    <t>Prime</t>
  </si>
  <si>
    <t xml:space="preserve">Impôt sur le revenu </t>
  </si>
  <si>
    <t>Structure prestataire</t>
  </si>
  <si>
    <t>Parents employeurs</t>
  </si>
  <si>
    <t>par enfant gardé</t>
  </si>
  <si>
    <t xml:space="preserve">Crèche collective </t>
  </si>
  <si>
    <t>répondre par oui ou non</t>
  </si>
  <si>
    <t>(1)</t>
  </si>
  <si>
    <t>(2)</t>
  </si>
  <si>
    <t>Salaire brut horaire (journalier pour  Ass. Maternelles)</t>
  </si>
  <si>
    <t>Tarif  minimum</t>
  </si>
  <si>
    <t>Tarif  maximum</t>
  </si>
  <si>
    <t>Informations personnelles à compléter</t>
  </si>
  <si>
    <t>Indemnités entretien journalières</t>
  </si>
  <si>
    <t>Allocation PAPADO versée</t>
  </si>
  <si>
    <t>Frais  de gestion facturés par une structure agréée</t>
  </si>
  <si>
    <t xml:space="preserve">               Les cases en vert sont modifiables</t>
  </si>
  <si>
    <t>oui</t>
  </si>
  <si>
    <t>Nbre d'enfants à charge (1)</t>
  </si>
  <si>
    <t>Age de l'enfant le plus jeune : moins de 3 ans (2)</t>
  </si>
  <si>
    <t>Garde partagée (2)</t>
  </si>
  <si>
    <t>Les deux parents ont une activité professionnelle (2)</t>
  </si>
  <si>
    <t>&gt;= 1</t>
  </si>
  <si>
    <t>Montant du crédit d'impôt ou de la réduction d'impôt</t>
  </si>
  <si>
    <r>
      <t xml:space="preserve">Assistante Maternelle - </t>
    </r>
    <r>
      <rPr>
        <b/>
        <sz val="8.5"/>
        <rFont val="Arial"/>
        <family val="2"/>
      </rPr>
      <t>par enfant gardé</t>
    </r>
  </si>
  <si>
    <t>Vous habitez Paris depuis plus de 3 ans (2)</t>
  </si>
  <si>
    <t>MAJ</t>
  </si>
  <si>
    <t>Prise en charge des cot.sociales à 50 % ou 100% (*)</t>
  </si>
  <si>
    <t xml:space="preserve">(*) Cot. sociales restant à votre charge : </t>
  </si>
  <si>
    <t>Les réductions sur les cotisations sociales ne s'appliquent que sur la part payée par l'employeur</t>
  </si>
  <si>
    <t>pour une auxiliaire parentale</t>
  </si>
  <si>
    <t xml:space="preserve">Cot. sociales restant à votre charge : </t>
  </si>
  <si>
    <t>pour une assistante maternelle Tarif Maximum 1ere colonne</t>
  </si>
  <si>
    <t>pour une assistante maternelle Tarif Minimum 2ème colonne</t>
  </si>
  <si>
    <t>Salaire net mensuel à déclarer à Pajemploi</t>
  </si>
  <si>
    <t>Revenu annuel imposable après abattement  (Ressources - CAF)</t>
  </si>
  <si>
    <t xml:space="preserve">Revenu annuel imposable avant abattement </t>
  </si>
  <si>
    <t>4 ENFANTS</t>
  </si>
  <si>
    <t xml:space="preserve">Ces informations vous sont fournies à titre indicatif et ne sauraient, en aucun cas, </t>
  </si>
  <si>
    <t>Revenu annuel imposable après abattement</t>
  </si>
  <si>
    <t xml:space="preserve">Total cotisations </t>
  </si>
  <si>
    <t xml:space="preserve">Prise en charge des cot.sociales à 50 % ou 100% </t>
  </si>
  <si>
    <t>(*) Montant de la déduction forfaitaire</t>
  </si>
  <si>
    <t xml:space="preserve">   -Cotisations sociales restant à votre charge (*)</t>
  </si>
  <si>
    <t>montant max réduction</t>
  </si>
  <si>
    <t>cot patronale maladie (50%)</t>
  </si>
  <si>
    <t>montant réduction cot</t>
  </si>
  <si>
    <r>
      <t>ARRONDI.SUP</t>
    </r>
    <r>
      <rPr>
        <sz val="9"/>
        <color indexed="63"/>
        <rFont val="Arial"/>
        <family val="2"/>
      </rPr>
      <t>(</t>
    </r>
    <r>
      <rPr>
        <b/>
        <sz val="9"/>
        <color indexed="63"/>
        <rFont val="Arial"/>
        <family val="2"/>
      </rPr>
      <t>nombre</t>
    </r>
    <r>
      <rPr>
        <sz val="9"/>
        <color indexed="63"/>
        <rFont val="Arial"/>
        <family val="2"/>
      </rPr>
      <t>;</t>
    </r>
    <r>
      <rPr>
        <b/>
        <sz val="9"/>
        <color indexed="63"/>
        <rFont val="Arial"/>
        <family val="2"/>
      </rPr>
      <t>no_chiffres</t>
    </r>
    <r>
      <rPr>
        <sz val="9"/>
        <color indexed="63"/>
        <rFont val="Arial"/>
        <family val="2"/>
      </rPr>
      <t>)</t>
    </r>
  </si>
  <si>
    <t>GARDE D'ENFANTS A DOMICILE</t>
  </si>
  <si>
    <t>(par enfant gardé)</t>
  </si>
  <si>
    <t>pour un(e) assistant(e) maternel(le) "Tarif Maximum"</t>
  </si>
  <si>
    <t xml:space="preserve">pour votre simulation du coût de l'emploi d'un(e) assistant(e) maternel(le) agréé(e) </t>
  </si>
  <si>
    <t xml:space="preserve">Salaire brut horaire  </t>
  </si>
  <si>
    <t>Nombre d'heures effectives mensuelles</t>
  </si>
  <si>
    <t>(3) Le calcul du nombre de jours d'accueil mensuel moyen en accueil collectif est effectué sans préjudice des sommes dues si la famille souhaite bénéficier du regroupement.
Des exonérations de paiement peuvent être pratiquées dans des cas particuliers et strictement définis, notamment en cas de fermeture de l'établissement.</t>
  </si>
  <si>
    <t>SALAIRE BRUT MENSUEL</t>
  </si>
  <si>
    <t>MONTANT NET A VERSER</t>
  </si>
  <si>
    <t>COUT MENSUEL FINAL</t>
  </si>
  <si>
    <t>CRECHE COLLECTIVE</t>
  </si>
  <si>
    <r>
      <rPr>
        <b/>
        <sz val="8.5"/>
        <rFont val="Arial"/>
        <family val="2"/>
      </rPr>
      <t>GARDE D'ENFANTS A DOMICILE</t>
    </r>
    <r>
      <rPr>
        <sz val="8.5"/>
        <rFont val="Arial"/>
        <family val="2"/>
      </rPr>
      <t xml:space="preserve">
(par famillle)</t>
    </r>
  </si>
  <si>
    <r>
      <rPr>
        <b/>
        <sz val="8.5"/>
        <rFont val="Arial"/>
        <family val="2"/>
      </rPr>
      <t>ASSISTANT(E) MATERNEL(LE)</t>
    </r>
    <r>
      <rPr>
        <sz val="8.5"/>
        <rFont val="Arial"/>
        <family val="2"/>
      </rPr>
      <t xml:space="preserve">
(par enfant gardé)</t>
    </r>
  </si>
  <si>
    <r>
      <t>Plafond</t>
    </r>
    <r>
      <rPr>
        <sz val="9"/>
        <color indexed="10"/>
        <rFont val="Arial"/>
        <family val="2"/>
      </rPr>
      <t>*</t>
    </r>
  </si>
  <si>
    <r>
      <t>Plancher</t>
    </r>
    <r>
      <rPr>
        <sz val="9"/>
        <color indexed="10"/>
        <rFont val="Arial"/>
        <family val="2"/>
      </rPr>
      <t>*</t>
    </r>
  </si>
  <si>
    <r>
      <rPr>
        <b/>
        <i/>
        <sz val="9"/>
        <color indexed="10"/>
        <rFont val="Times New Roman"/>
        <family val="1"/>
      </rPr>
      <t xml:space="preserve">* </t>
    </r>
    <r>
      <rPr>
        <b/>
        <i/>
        <sz val="9"/>
        <rFont val="Times New Roman"/>
        <family val="1"/>
      </rPr>
      <t>tarifs plafond et plancher sont journaliers</t>
    </r>
  </si>
  <si>
    <t>engager notre responsabilité.</t>
  </si>
  <si>
    <t>Maj : 15/01/2014 - ne pas tenir compte de cette feuille.</t>
  </si>
  <si>
    <t>Nombre d'heures supplémentaires majorées 
Nombre de jours d'accueil mensuel moyen en accueil collectif (3)</t>
  </si>
  <si>
    <t>Nombre de jours d'accueil (mensuels pour l'Ass. maternel(le)s et par semaine en accueil collectif)</t>
  </si>
  <si>
    <t>Prime repas pour la garde à domicile. Taux de majoration des heures supp pour Ass. Maternel(le)s</t>
  </si>
  <si>
    <t>CSG (déductible) (1)</t>
  </si>
  <si>
    <t>CSG (non déductibles) (1)</t>
  </si>
  <si>
    <t>CRDS (non déductibles) (1)</t>
  </si>
  <si>
    <t>Maladie</t>
  </si>
  <si>
    <t>Vieillesse</t>
  </si>
  <si>
    <t>Retraite complémentaire</t>
  </si>
  <si>
    <t>Chômage</t>
  </si>
  <si>
    <t>Cot. AGFF</t>
  </si>
  <si>
    <t xml:space="preserve">Allocations familiales </t>
  </si>
  <si>
    <t>Accidents du travail</t>
  </si>
  <si>
    <t>Fonds national d'aide au logement</t>
  </si>
  <si>
    <t>Ircem Prévoyance</t>
  </si>
  <si>
    <t>Formation professionnelle</t>
  </si>
  <si>
    <t>Contribution org. Syndicales</t>
  </si>
  <si>
    <t>Contribution de solidarité autonomie</t>
  </si>
  <si>
    <t>TOTAL  Retenues</t>
  </si>
  <si>
    <t>Montant de la déduction forfaitaire</t>
  </si>
  <si>
    <t>TOTAL Retenues après déduction</t>
  </si>
  <si>
    <t>SB</t>
  </si>
  <si>
    <t>Cotisations Patronales</t>
  </si>
  <si>
    <t xml:space="preserve">(1) &gt;= 1 </t>
  </si>
  <si>
    <t xml:space="preserve">Cotisations salariales </t>
  </si>
  <si>
    <t>SS TOTAL 1</t>
  </si>
  <si>
    <t>SS TOTAL 2</t>
  </si>
  <si>
    <t>Soit</t>
  </si>
  <si>
    <t>SOIT</t>
  </si>
  <si>
    <t>Ce simulateur peut présenter quelques différences avec les simulations de Pajemploi du fait des arrondis. Ces informations vous sont fournies à titre purement indicatif.</t>
  </si>
  <si>
    <t>Salaire journalier mini net</t>
  </si>
  <si>
    <t xml:space="preserve">Montant du crédit d'impôt </t>
  </si>
  <si>
    <t xml:space="preserve">Dépenses annuelles après crédit d'impôt </t>
  </si>
  <si>
    <t xml:space="preserve">Indemnité d'entretien </t>
  </si>
  <si>
    <t>Taux horaire conventionnel (échelle 3)</t>
  </si>
  <si>
    <t>Montant plancher pris en compte pour 2018</t>
  </si>
  <si>
    <t>IMPÔT</t>
  </si>
  <si>
    <t>CRECHE ( Tarifs journalier)</t>
  </si>
  <si>
    <t>Plus de 3 ans</t>
  </si>
  <si>
    <t>(2)répondre par oui ou non</t>
  </si>
  <si>
    <t>Revenu annuel imposable avant abattement (pour l'accueil collectif)</t>
  </si>
  <si>
    <t>20 755&lt;R&lt;46123</t>
  </si>
  <si>
    <t>23 701&lt;R&lt;52 670</t>
  </si>
  <si>
    <t>26 647&lt;R&lt;59217</t>
  </si>
  <si>
    <t>29 593&lt;R&lt;65764</t>
  </si>
  <si>
    <t>Nombre d'heures complémentaires mensuelles</t>
  </si>
  <si>
    <t>Exonération HS</t>
  </si>
  <si>
    <t>Exonération HM+HC</t>
  </si>
  <si>
    <t>Maj 1er septembre 2019</t>
  </si>
</sst>
</file>

<file path=xl/styles.xml><?xml version="1.0" encoding="utf-8"?>
<styleSheet xmlns="http://schemas.openxmlformats.org/spreadsheetml/2006/main">
  <numFmts count="4">
    <numFmt numFmtId="44" formatCode="_-* #,##0.00\ &quot;€&quot;_-;\-* #,##0.00\ &quot;€&quot;_-;_-* &quot;-&quot;??\ &quot;€&quot;_-;_-@_-"/>
    <numFmt numFmtId="43" formatCode="_-* #,##0.00\ _€_-;\-* #,##0.00\ _€_-;_-* &quot;-&quot;??\ _€_-;_-@_-"/>
    <numFmt numFmtId="164" formatCode="#,##0.00_ ;\-#,##0.00\ "/>
    <numFmt numFmtId="165" formatCode="0.000%"/>
  </numFmts>
  <fonts count="42">
    <font>
      <sz val="11"/>
      <name val="Times New Roman"/>
    </font>
    <font>
      <sz val="11"/>
      <name val="Times New Roman"/>
      <family val="1"/>
    </font>
    <font>
      <sz val="9"/>
      <name val="Arial"/>
      <family val="2"/>
    </font>
    <font>
      <b/>
      <sz val="9"/>
      <name val="Arial"/>
      <family val="2"/>
    </font>
    <font>
      <sz val="9"/>
      <name val="Times New Roman"/>
      <family val="1"/>
    </font>
    <font>
      <sz val="8.5"/>
      <name val="Arial"/>
      <family val="2"/>
    </font>
    <font>
      <b/>
      <sz val="8.5"/>
      <name val="Arial"/>
      <family val="2"/>
    </font>
    <font>
      <i/>
      <sz val="8.5"/>
      <name val="Arial"/>
      <family val="2"/>
    </font>
    <font>
      <b/>
      <u/>
      <sz val="8.5"/>
      <name val="Arial"/>
      <family val="2"/>
    </font>
    <font>
      <b/>
      <i/>
      <sz val="8.5"/>
      <name val="Arial"/>
      <family val="2"/>
    </font>
    <font>
      <sz val="8.5"/>
      <color indexed="8"/>
      <name val="Arial"/>
      <family val="2"/>
    </font>
    <font>
      <sz val="8"/>
      <color indexed="81"/>
      <name val="Tahoma"/>
      <family val="2"/>
    </font>
    <font>
      <b/>
      <sz val="8"/>
      <color indexed="81"/>
      <name val="Tahoma"/>
      <family val="2"/>
    </font>
    <font>
      <u/>
      <sz val="11"/>
      <color indexed="12"/>
      <name val="Times New Roman"/>
      <family val="1"/>
    </font>
    <font>
      <b/>
      <sz val="10"/>
      <name val="Arial"/>
      <family val="2"/>
    </font>
    <font>
      <u/>
      <sz val="8.5"/>
      <name val="Arial"/>
      <family val="2"/>
    </font>
    <font>
      <sz val="8"/>
      <name val="Times New Roman"/>
      <family val="1"/>
    </font>
    <font>
      <b/>
      <i/>
      <sz val="10"/>
      <name val="Arial"/>
      <family val="2"/>
    </font>
    <font>
      <u/>
      <sz val="11"/>
      <name val="Times New Roman"/>
      <family val="1"/>
    </font>
    <font>
      <sz val="10"/>
      <color indexed="81"/>
      <name val="Tahoma"/>
      <family val="2"/>
    </font>
    <font>
      <b/>
      <sz val="9"/>
      <color indexed="63"/>
      <name val="Arial"/>
      <family val="2"/>
    </font>
    <font>
      <sz val="9"/>
      <color indexed="63"/>
      <name val="Arial"/>
      <family val="2"/>
    </font>
    <font>
      <sz val="9"/>
      <color indexed="81"/>
      <name val="Tahoma"/>
      <family val="2"/>
    </font>
    <font>
      <b/>
      <i/>
      <sz val="9"/>
      <name val="Arial"/>
      <family val="2"/>
    </font>
    <font>
      <sz val="8"/>
      <name val="Arial"/>
      <family val="2"/>
    </font>
    <font>
      <b/>
      <u/>
      <sz val="8"/>
      <color indexed="81"/>
      <name val="Tahoma"/>
      <family val="2"/>
    </font>
    <font>
      <sz val="9"/>
      <color indexed="10"/>
      <name val="Arial"/>
      <family val="2"/>
    </font>
    <font>
      <b/>
      <i/>
      <sz val="9"/>
      <name val="Times New Roman"/>
      <family val="1"/>
    </font>
    <font>
      <b/>
      <i/>
      <sz val="9"/>
      <color indexed="10"/>
      <name val="Times New Roman"/>
      <family val="1"/>
    </font>
    <font>
      <b/>
      <sz val="9"/>
      <name val="Times New Roman"/>
      <family val="1"/>
    </font>
    <font>
      <b/>
      <sz val="8"/>
      <name val="Arial"/>
      <family val="2"/>
    </font>
    <font>
      <sz val="10"/>
      <name val="Arial"/>
      <family val="2"/>
    </font>
    <font>
      <sz val="10"/>
      <name val="Times New Roman"/>
      <family val="1"/>
    </font>
    <font>
      <sz val="7"/>
      <name val="Arial"/>
      <family val="2"/>
    </font>
    <font>
      <b/>
      <sz val="11"/>
      <name val="Times New Roman"/>
      <family val="1"/>
    </font>
    <font>
      <b/>
      <sz val="9"/>
      <color indexed="81"/>
      <name val="Tahoma"/>
      <family val="2"/>
    </font>
    <font>
      <b/>
      <sz val="8.5"/>
      <color rgb="FFFF0000"/>
      <name val="Arial"/>
      <family val="2"/>
    </font>
    <font>
      <b/>
      <sz val="9"/>
      <color rgb="FF555555"/>
      <name val="Arial"/>
      <family val="2"/>
    </font>
    <font>
      <sz val="8.5"/>
      <color theme="0"/>
      <name val="Arial"/>
      <family val="2"/>
    </font>
    <font>
      <b/>
      <sz val="8.5"/>
      <color theme="1"/>
      <name val="Arial"/>
      <family val="2"/>
    </font>
    <font>
      <b/>
      <sz val="8.5"/>
      <color theme="0"/>
      <name val="Arial"/>
      <family val="2"/>
    </font>
    <font>
      <sz val="8"/>
      <color rgb="FFFF0000"/>
      <name val="Arial"/>
      <family val="2"/>
    </font>
  </fonts>
  <fills count="16">
    <fill>
      <patternFill patternType="none"/>
    </fill>
    <fill>
      <patternFill patternType="gray125"/>
    </fill>
    <fill>
      <patternFill patternType="solid">
        <fgColor indexed="48"/>
        <bgColor indexed="64"/>
      </patternFill>
    </fill>
    <fill>
      <patternFill patternType="solid">
        <fgColor indexed="22"/>
        <bgColor indexed="64"/>
      </patternFill>
    </fill>
    <fill>
      <patternFill patternType="solid">
        <fgColor indexed="43"/>
        <bgColor indexed="64"/>
      </patternFill>
    </fill>
    <fill>
      <patternFill patternType="solid">
        <fgColor indexed="13"/>
        <bgColor indexed="64"/>
      </patternFill>
    </fill>
    <fill>
      <patternFill patternType="solid">
        <fgColor indexed="51"/>
        <bgColor indexed="64"/>
      </patternFill>
    </fill>
    <fill>
      <patternFill patternType="solid">
        <fgColor theme="0"/>
        <bgColor indexed="64"/>
      </patternFill>
    </fill>
    <fill>
      <patternFill patternType="solid">
        <fgColor theme="6"/>
        <bgColor indexed="64"/>
      </patternFill>
    </fill>
    <fill>
      <patternFill patternType="solid">
        <fgColor theme="0" tint="-0.14999847407452621"/>
        <bgColor indexed="64"/>
      </patternFill>
    </fill>
    <fill>
      <patternFill patternType="solid">
        <fgColor theme="6" tint="0.79998168889431442"/>
        <bgColor indexed="64"/>
      </patternFill>
    </fill>
    <fill>
      <patternFill patternType="solid">
        <fgColor rgb="FFFFF0C9"/>
        <bgColor indexed="64"/>
      </patternFill>
    </fill>
    <fill>
      <patternFill patternType="solid">
        <fgColor rgb="FF0070C0"/>
        <bgColor indexed="64"/>
      </patternFill>
    </fill>
    <fill>
      <patternFill patternType="solid">
        <fgColor rgb="FFFFFF00"/>
        <bgColor indexed="64"/>
      </patternFill>
    </fill>
    <fill>
      <patternFill patternType="solid">
        <fgColor theme="5" tint="0.39997558519241921"/>
        <bgColor indexed="64"/>
      </patternFill>
    </fill>
    <fill>
      <patternFill patternType="solid">
        <fgColor theme="2" tint="-0.249977111117893"/>
        <bgColor indexed="64"/>
      </patternFill>
    </fill>
  </fills>
  <borders count="137">
    <border>
      <left/>
      <right/>
      <top/>
      <bottom/>
      <diagonal/>
    </border>
    <border>
      <left/>
      <right/>
      <top/>
      <bottom style="hair">
        <color indexed="64"/>
      </bottom>
      <diagonal/>
    </border>
    <border>
      <left/>
      <right/>
      <top style="thin">
        <color indexed="48"/>
      </top>
      <bottom style="thin">
        <color indexed="48"/>
      </bottom>
      <diagonal/>
    </border>
    <border>
      <left/>
      <right/>
      <top style="hair">
        <color indexed="64"/>
      </top>
      <bottom style="hair">
        <color indexed="64"/>
      </bottom>
      <diagonal/>
    </border>
    <border>
      <left/>
      <right/>
      <top style="thin">
        <color indexed="64"/>
      </top>
      <bottom style="thin">
        <color indexed="64"/>
      </bottom>
      <diagonal/>
    </border>
    <border>
      <left/>
      <right/>
      <top style="hair">
        <color indexed="64"/>
      </top>
      <bottom/>
      <diagonal/>
    </border>
    <border>
      <left/>
      <right/>
      <top/>
      <bottom style="thin">
        <color indexed="64"/>
      </bottom>
      <diagonal/>
    </border>
    <border>
      <left/>
      <right/>
      <top style="thin">
        <color indexed="64"/>
      </top>
      <bottom/>
      <diagonal/>
    </border>
    <border>
      <left/>
      <right/>
      <top/>
      <bottom style="thin">
        <color indexed="48"/>
      </bottom>
      <diagonal/>
    </border>
    <border>
      <left/>
      <right/>
      <top/>
      <bottom style="medium">
        <color indexed="64"/>
      </bottom>
      <diagonal/>
    </border>
    <border>
      <left style="thin">
        <color indexed="12"/>
      </left>
      <right/>
      <top style="hair">
        <color indexed="64"/>
      </top>
      <bottom style="hair">
        <color indexed="64"/>
      </bottom>
      <diagonal/>
    </border>
    <border>
      <left style="thin">
        <color indexed="12"/>
      </left>
      <right/>
      <top/>
      <bottom style="hair">
        <color indexed="64"/>
      </bottom>
      <diagonal/>
    </border>
    <border>
      <left style="thin">
        <color indexed="12"/>
      </left>
      <right/>
      <top style="thin">
        <color indexed="12"/>
      </top>
      <bottom style="thin">
        <color indexed="12"/>
      </bottom>
      <diagonal/>
    </border>
    <border>
      <left/>
      <right/>
      <top style="thin">
        <color indexed="12"/>
      </top>
      <bottom style="thin">
        <color indexed="12"/>
      </bottom>
      <diagonal/>
    </border>
    <border>
      <left style="thin">
        <color indexed="12"/>
      </left>
      <right/>
      <top/>
      <bottom/>
      <diagonal/>
    </border>
    <border>
      <left style="thin">
        <color indexed="12"/>
      </left>
      <right/>
      <top style="thin">
        <color indexed="64"/>
      </top>
      <bottom style="thin">
        <color indexed="64"/>
      </bottom>
      <diagonal/>
    </border>
    <border>
      <left style="thin">
        <color indexed="12"/>
      </left>
      <right/>
      <top style="hair">
        <color indexed="64"/>
      </top>
      <bottom/>
      <diagonal/>
    </border>
    <border>
      <left/>
      <right/>
      <top style="thin">
        <color indexed="64"/>
      </top>
      <bottom style="hair">
        <color indexed="64"/>
      </bottom>
      <diagonal/>
    </border>
    <border>
      <left style="thin">
        <color indexed="12"/>
      </left>
      <right style="medium">
        <color indexed="64"/>
      </right>
      <top/>
      <bottom style="hair">
        <color indexed="64"/>
      </bottom>
      <diagonal/>
    </border>
    <border>
      <left style="medium">
        <color indexed="64"/>
      </left>
      <right style="medium">
        <color indexed="64"/>
      </right>
      <top/>
      <bottom style="hair">
        <color indexed="64"/>
      </bottom>
      <diagonal/>
    </border>
    <border>
      <left style="medium">
        <color indexed="64"/>
      </left>
      <right/>
      <top/>
      <bottom style="hair">
        <color indexed="64"/>
      </bottom>
      <diagonal/>
    </border>
    <border>
      <left/>
      <right/>
      <top style="hair">
        <color indexed="64"/>
      </top>
      <bottom style="thin">
        <color indexed="64"/>
      </bottom>
      <diagonal/>
    </border>
    <border>
      <left style="thin">
        <color indexed="12"/>
      </left>
      <right/>
      <top/>
      <bottom style="thin">
        <color indexed="64"/>
      </bottom>
      <diagonal/>
    </border>
    <border>
      <left style="thin">
        <color indexed="12"/>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12"/>
      </left>
      <right/>
      <top/>
      <bottom style="medium">
        <color indexed="64"/>
      </bottom>
      <diagonal/>
    </border>
    <border>
      <left style="hair">
        <color indexed="64"/>
      </left>
      <right style="hair">
        <color indexed="64"/>
      </right>
      <top style="hair">
        <color indexed="64"/>
      </top>
      <bottom style="hair">
        <color indexed="64"/>
      </bottom>
      <diagonal/>
    </border>
    <border>
      <left style="hair">
        <color indexed="64"/>
      </left>
      <right style="hair">
        <color indexed="64"/>
      </right>
      <top style="hair">
        <color indexed="64"/>
      </top>
      <bottom/>
      <diagonal/>
    </border>
    <border>
      <left style="hair">
        <color indexed="64"/>
      </left>
      <right style="hair">
        <color indexed="64"/>
      </right>
      <top style="thick">
        <color indexed="64"/>
      </top>
      <bottom style="hair">
        <color indexed="64"/>
      </bottom>
      <diagonal/>
    </border>
    <border>
      <left/>
      <right/>
      <top style="thick">
        <color indexed="64"/>
      </top>
      <bottom/>
      <diagonal/>
    </border>
    <border>
      <left style="hair">
        <color indexed="64"/>
      </left>
      <right style="thick">
        <color indexed="64"/>
      </right>
      <top style="hair">
        <color indexed="64"/>
      </top>
      <bottom style="hair">
        <color indexed="64"/>
      </bottom>
      <diagonal/>
    </border>
    <border>
      <left style="hair">
        <color indexed="64"/>
      </left>
      <right style="thick">
        <color indexed="64"/>
      </right>
      <top style="thick">
        <color indexed="64"/>
      </top>
      <bottom style="hair">
        <color indexed="64"/>
      </bottom>
      <diagonal/>
    </border>
    <border>
      <left style="hair">
        <color indexed="64"/>
      </left>
      <right style="thick">
        <color indexed="64"/>
      </right>
      <top style="hair">
        <color indexed="64"/>
      </top>
      <bottom/>
      <diagonal/>
    </border>
    <border>
      <left/>
      <right style="thick">
        <color indexed="64"/>
      </right>
      <top style="thick">
        <color indexed="64"/>
      </top>
      <bottom/>
      <diagonal/>
    </border>
    <border>
      <left/>
      <right style="thick">
        <color indexed="64"/>
      </right>
      <top/>
      <bottom/>
      <diagonal/>
    </border>
    <border>
      <left style="hair">
        <color indexed="64"/>
      </left>
      <right style="hair">
        <color indexed="64"/>
      </right>
      <top style="hair">
        <color indexed="64"/>
      </top>
      <bottom style="thick">
        <color indexed="64"/>
      </bottom>
      <diagonal/>
    </border>
    <border>
      <left/>
      <right/>
      <top/>
      <bottom style="thick">
        <color indexed="64"/>
      </bottom>
      <diagonal/>
    </border>
    <border>
      <left/>
      <right style="thick">
        <color indexed="64"/>
      </right>
      <top/>
      <bottom style="thick">
        <color indexed="64"/>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style="medium">
        <color indexed="64"/>
      </top>
      <bottom style="medium">
        <color indexed="64"/>
      </bottom>
      <diagonal/>
    </border>
    <border>
      <left style="thin">
        <color indexed="12"/>
      </left>
      <right style="hair">
        <color indexed="55"/>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style="thin">
        <color indexed="12"/>
      </left>
      <right/>
      <top style="thin">
        <color theme="0" tint="-0.34998626667073579"/>
      </top>
      <bottom style="thin">
        <color theme="0" tint="-0.34998626667073579"/>
      </bottom>
      <diagonal/>
    </border>
    <border>
      <left style="thin">
        <color indexed="12"/>
      </left>
      <right/>
      <top/>
      <bottom style="thin">
        <color theme="0" tint="-0.34998626667073579"/>
      </bottom>
      <diagonal/>
    </border>
    <border>
      <left/>
      <right/>
      <top/>
      <bottom style="thin">
        <color theme="0" tint="-0.34998626667073579"/>
      </bottom>
      <diagonal/>
    </border>
    <border>
      <left style="thin">
        <color indexed="12"/>
      </left>
      <right/>
      <top style="thin">
        <color theme="0" tint="-0.24994659260841701"/>
      </top>
      <bottom style="thin">
        <color theme="0" tint="-0.24994659260841701"/>
      </bottom>
      <diagonal/>
    </border>
    <border>
      <left/>
      <right/>
      <top style="thin">
        <color theme="0" tint="-0.24994659260841701"/>
      </top>
      <bottom style="thin">
        <color theme="0" tint="-0.24994659260841701"/>
      </bottom>
      <diagonal/>
    </border>
    <border>
      <left/>
      <right/>
      <top style="hair">
        <color theme="0" tint="-0.14996795556505021"/>
      </top>
      <bottom style="hair">
        <color theme="0" tint="-0.14996795556505021"/>
      </bottom>
      <diagonal/>
    </border>
    <border>
      <left/>
      <right/>
      <top style="thin">
        <color theme="2" tint="-0.749992370372631"/>
      </top>
      <bottom style="hair">
        <color theme="0" tint="-0.14996795556505021"/>
      </bottom>
      <diagonal/>
    </border>
    <border>
      <left/>
      <right/>
      <top/>
      <bottom style="hair">
        <color theme="0" tint="-0.14996795556505021"/>
      </bottom>
      <diagonal/>
    </border>
    <border>
      <left/>
      <right/>
      <top style="hair">
        <color theme="0" tint="-0.14996795556505021"/>
      </top>
      <bottom style="thin">
        <color indexed="64"/>
      </bottom>
      <diagonal/>
    </border>
    <border>
      <left/>
      <right/>
      <top style="thin">
        <color indexed="64"/>
      </top>
      <bottom style="hair">
        <color theme="0" tint="-0.14996795556505021"/>
      </bottom>
      <diagonal/>
    </border>
    <border>
      <left/>
      <right/>
      <top style="hair">
        <color theme="0" tint="-0.14996795556505021"/>
      </top>
      <bottom/>
      <diagonal/>
    </border>
    <border>
      <left style="medium">
        <color theme="2" tint="-0.749992370372631"/>
      </left>
      <right/>
      <top style="medium">
        <color theme="2" tint="-0.749992370372631"/>
      </top>
      <bottom style="thin">
        <color theme="2" tint="-0.749992370372631"/>
      </bottom>
      <diagonal/>
    </border>
    <border>
      <left/>
      <right/>
      <top style="medium">
        <color theme="2" tint="-0.749992370372631"/>
      </top>
      <bottom style="thin">
        <color theme="2" tint="-0.749992370372631"/>
      </bottom>
      <diagonal/>
    </border>
    <border>
      <left/>
      <right style="medium">
        <color theme="2" tint="-0.749992370372631"/>
      </right>
      <top style="medium">
        <color theme="2" tint="-0.749992370372631"/>
      </top>
      <bottom style="thin">
        <color theme="2" tint="-0.749992370372631"/>
      </bottom>
      <diagonal/>
    </border>
    <border>
      <left style="medium">
        <color theme="2" tint="-0.749992370372631"/>
      </left>
      <right/>
      <top style="hair">
        <color theme="0" tint="-0.14996795556505021"/>
      </top>
      <bottom style="hair">
        <color theme="0" tint="-0.14996795556505021"/>
      </bottom>
      <diagonal/>
    </border>
    <border>
      <left style="medium">
        <color theme="2" tint="-0.749992370372631"/>
      </left>
      <right/>
      <top style="medium">
        <color theme="2" tint="-0.749992370372631"/>
      </top>
      <bottom/>
      <diagonal/>
    </border>
    <border>
      <left/>
      <right/>
      <top style="medium">
        <color theme="2" tint="-0.749992370372631"/>
      </top>
      <bottom/>
      <diagonal/>
    </border>
    <border>
      <left style="medium">
        <color theme="2" tint="-0.749992370372631"/>
      </left>
      <right/>
      <top/>
      <bottom/>
      <diagonal/>
    </border>
    <border>
      <left style="medium">
        <color theme="2" tint="-0.749992370372631"/>
      </left>
      <right/>
      <top/>
      <bottom style="hair">
        <color theme="0" tint="-0.14996795556505021"/>
      </bottom>
      <diagonal/>
    </border>
    <border>
      <left style="medium">
        <color theme="2" tint="-0.749992370372631"/>
      </left>
      <right/>
      <top style="hair">
        <color theme="0" tint="-0.14996795556505021"/>
      </top>
      <bottom style="thin">
        <color indexed="64"/>
      </bottom>
      <diagonal/>
    </border>
    <border>
      <left style="medium">
        <color theme="2" tint="-0.749992370372631"/>
      </left>
      <right/>
      <top style="thin">
        <color indexed="64"/>
      </top>
      <bottom style="hair">
        <color theme="0" tint="-0.14996795556505021"/>
      </bottom>
      <diagonal/>
    </border>
    <border>
      <left style="medium">
        <color theme="2" tint="-0.749992370372631"/>
      </left>
      <right/>
      <top style="hair">
        <color indexed="64"/>
      </top>
      <bottom style="hair">
        <color theme="0" tint="-0.14996795556505021"/>
      </bottom>
      <diagonal/>
    </border>
    <border>
      <left style="medium">
        <color theme="2" tint="-0.749992370372631"/>
      </left>
      <right/>
      <top style="thin">
        <color indexed="64"/>
      </top>
      <bottom style="thin">
        <color indexed="64"/>
      </bottom>
      <diagonal/>
    </border>
    <border>
      <left style="medium">
        <color theme="2" tint="-0.749992370372631"/>
      </left>
      <right/>
      <top/>
      <bottom style="medium">
        <color theme="2" tint="-0.749992370372631"/>
      </bottom>
      <diagonal/>
    </border>
    <border>
      <left/>
      <right/>
      <top/>
      <bottom style="medium">
        <color theme="2" tint="-0.749992370372631"/>
      </bottom>
      <diagonal/>
    </border>
    <border>
      <left style="thin">
        <color theme="2" tint="-0.749992370372631"/>
      </left>
      <right style="medium">
        <color theme="2" tint="-0.749992370372631"/>
      </right>
      <top style="thin">
        <color theme="2" tint="-0.749992370372631"/>
      </top>
      <bottom style="hair">
        <color theme="0" tint="-0.14996795556505021"/>
      </bottom>
      <diagonal/>
    </border>
    <border>
      <left style="thin">
        <color theme="2" tint="-0.749992370372631"/>
      </left>
      <right style="medium">
        <color theme="2" tint="-0.749992370372631"/>
      </right>
      <top style="hair">
        <color theme="0" tint="-0.14996795556505021"/>
      </top>
      <bottom style="hair">
        <color theme="0" tint="-0.14996795556505021"/>
      </bottom>
      <diagonal/>
    </border>
    <border>
      <left/>
      <right style="thin">
        <color theme="1"/>
      </right>
      <top style="thin">
        <color indexed="64"/>
      </top>
      <bottom style="thin">
        <color indexed="64"/>
      </bottom>
      <diagonal/>
    </border>
    <border>
      <left/>
      <right style="thin">
        <color theme="1"/>
      </right>
      <top/>
      <bottom/>
      <diagonal/>
    </border>
    <border>
      <left/>
      <right style="thin">
        <color theme="1"/>
      </right>
      <top style="hair">
        <color theme="0" tint="-0.14996795556505021"/>
      </top>
      <bottom style="hair">
        <color theme="0" tint="-0.14996795556505021"/>
      </bottom>
      <diagonal/>
    </border>
    <border>
      <left style="thin">
        <color theme="1"/>
      </left>
      <right style="medium">
        <color rgb="FF002060"/>
      </right>
      <top style="hair">
        <color theme="0" tint="-0.14996795556505021"/>
      </top>
      <bottom style="thin">
        <color indexed="64"/>
      </bottom>
      <diagonal/>
    </border>
    <border>
      <left/>
      <right style="thin">
        <color theme="1"/>
      </right>
      <top style="thin">
        <color theme="2" tint="-0.749992370372631"/>
      </top>
      <bottom style="thin">
        <color theme="2" tint="-0.749992370372631"/>
      </bottom>
      <diagonal/>
    </border>
    <border>
      <left/>
      <right style="thin">
        <color theme="1"/>
      </right>
      <top style="thin">
        <color theme="2" tint="-0.749992370372631"/>
      </top>
      <bottom style="hair">
        <color theme="0" tint="-0.14996795556505021"/>
      </bottom>
      <diagonal/>
    </border>
    <border>
      <left/>
      <right style="thin">
        <color theme="1"/>
      </right>
      <top style="thin">
        <color indexed="64"/>
      </top>
      <bottom style="hair">
        <color theme="0" tint="-0.14996795556505021"/>
      </bottom>
      <diagonal/>
    </border>
    <border>
      <left/>
      <right style="thin">
        <color theme="1"/>
      </right>
      <top style="hair">
        <color theme="0" tint="-0.14996795556505021"/>
      </top>
      <bottom/>
      <diagonal/>
    </border>
    <border>
      <left/>
      <right style="thin">
        <color indexed="64"/>
      </right>
      <top style="hair">
        <color theme="0" tint="-0.14996795556505021"/>
      </top>
      <bottom style="hair">
        <color theme="0" tint="-0.14996795556505021"/>
      </bottom>
      <diagonal/>
    </border>
    <border>
      <left/>
      <right style="thin">
        <color theme="1"/>
      </right>
      <top/>
      <bottom style="thin">
        <color indexed="64"/>
      </bottom>
      <diagonal/>
    </border>
    <border>
      <left/>
      <right style="thin">
        <color theme="1"/>
      </right>
      <top/>
      <bottom style="hair">
        <color theme="0" tint="-0.14996795556505021"/>
      </bottom>
      <diagonal/>
    </border>
    <border>
      <left/>
      <right style="thin">
        <color theme="1"/>
      </right>
      <top style="hair">
        <color theme="0" tint="-0.14996795556505021"/>
      </top>
      <bottom style="thin">
        <color indexed="64"/>
      </bottom>
      <diagonal/>
    </border>
    <border>
      <left/>
      <right style="thin">
        <color theme="1"/>
      </right>
      <top/>
      <bottom style="medium">
        <color theme="2" tint="-0.749992370372631"/>
      </bottom>
      <diagonal/>
    </border>
    <border>
      <left style="thin">
        <color theme="1"/>
      </left>
      <right style="medium">
        <color rgb="FF002060"/>
      </right>
      <top style="thin">
        <color theme="2" tint="-0.749992370372631"/>
      </top>
      <bottom style="thin">
        <color theme="2" tint="-0.749992370372631"/>
      </bottom>
      <diagonal/>
    </border>
    <border>
      <left style="thin">
        <color theme="1"/>
      </left>
      <right style="medium">
        <color rgb="FF002060"/>
      </right>
      <top/>
      <bottom style="hair">
        <color theme="0" tint="-0.14996795556505021"/>
      </bottom>
      <diagonal/>
    </border>
    <border>
      <left style="thin">
        <color theme="1"/>
      </left>
      <right style="medium">
        <color rgb="FF002060"/>
      </right>
      <top style="hair">
        <color theme="0" tint="-0.14996795556505021"/>
      </top>
      <bottom style="hair">
        <color theme="0" tint="-0.14996795556505021"/>
      </bottom>
      <diagonal/>
    </border>
    <border>
      <left style="thin">
        <color theme="1"/>
      </left>
      <right style="medium">
        <color rgb="FF002060"/>
      </right>
      <top style="thin">
        <color indexed="64"/>
      </top>
      <bottom style="thin">
        <color indexed="64"/>
      </bottom>
      <diagonal/>
    </border>
    <border>
      <left style="thin">
        <color theme="1"/>
      </left>
      <right style="medium">
        <color rgb="FF002060"/>
      </right>
      <top/>
      <bottom/>
      <diagonal/>
    </border>
    <border>
      <left style="thin">
        <color theme="1"/>
      </left>
      <right style="medium">
        <color rgb="FF002060"/>
      </right>
      <top/>
      <bottom style="thin">
        <color indexed="64"/>
      </bottom>
      <diagonal/>
    </border>
    <border>
      <left style="thin">
        <color indexed="64"/>
      </left>
      <right style="medium">
        <color rgb="FF002060"/>
      </right>
      <top style="thin">
        <color indexed="64"/>
      </top>
      <bottom style="thin">
        <color indexed="64"/>
      </bottom>
      <diagonal/>
    </border>
    <border>
      <left/>
      <right style="medium">
        <color rgb="FF002060"/>
      </right>
      <top/>
      <bottom/>
      <diagonal/>
    </border>
    <border>
      <left style="thin">
        <color theme="1"/>
      </left>
      <right style="medium">
        <color rgb="FF002060"/>
      </right>
      <top style="thin">
        <color indexed="64"/>
      </top>
      <bottom/>
      <diagonal/>
    </border>
    <border>
      <left style="thin">
        <color theme="1"/>
      </left>
      <right style="medium">
        <color rgb="FF002060"/>
      </right>
      <top/>
      <bottom style="medium">
        <color theme="2" tint="-0.749992370372631"/>
      </bottom>
      <diagonal/>
    </border>
    <border>
      <left/>
      <right style="medium">
        <color theme="2" tint="-0.749992370372631"/>
      </right>
      <top/>
      <bottom/>
      <diagonal/>
    </border>
    <border>
      <left/>
      <right style="medium">
        <color theme="2" tint="-0.749992370372631"/>
      </right>
      <top style="hair">
        <color theme="0" tint="-0.14996795556505021"/>
      </top>
      <bottom style="hair">
        <color theme="0" tint="-0.14996795556505021"/>
      </bottom>
      <diagonal/>
    </border>
    <border>
      <left/>
      <right style="medium">
        <color theme="2" tint="-0.749992370372631"/>
      </right>
      <top style="hair">
        <color theme="0" tint="-0.14996795556505021"/>
      </top>
      <bottom style="thin">
        <color indexed="64"/>
      </bottom>
      <diagonal/>
    </border>
    <border>
      <left/>
      <right style="medium">
        <color theme="2" tint="-0.749992370372631"/>
      </right>
      <top style="thin">
        <color indexed="64"/>
      </top>
      <bottom style="thin">
        <color indexed="64"/>
      </bottom>
      <diagonal/>
    </border>
    <border>
      <left/>
      <right style="medium">
        <color theme="2" tint="-0.749992370372631"/>
      </right>
      <top/>
      <bottom style="hair">
        <color theme="0" tint="-0.14996795556505021"/>
      </bottom>
      <diagonal/>
    </border>
    <border>
      <left/>
      <right style="medium">
        <color theme="2" tint="-0.749992370372631"/>
      </right>
      <top/>
      <bottom style="medium">
        <color theme="2" tint="-0.749992370372631"/>
      </bottom>
      <diagonal/>
    </border>
    <border>
      <left style="thin">
        <color theme="1"/>
      </left>
      <right style="medium">
        <color rgb="FF002060"/>
      </right>
      <top style="thin">
        <color theme="2" tint="-0.749992370372631"/>
      </top>
      <bottom style="hair">
        <color theme="0" tint="-0.14996795556505021"/>
      </bottom>
      <diagonal/>
    </border>
    <border>
      <left style="thin">
        <color theme="1"/>
      </left>
      <right style="medium">
        <color rgb="FF002060"/>
      </right>
      <top style="hair">
        <color theme="0" tint="-0.14996795556505021"/>
      </top>
      <bottom/>
      <diagonal/>
    </border>
    <border>
      <left style="thin">
        <color theme="1"/>
      </left>
      <right style="medium">
        <color rgb="FF002060"/>
      </right>
      <top style="thin">
        <color indexed="64"/>
      </top>
      <bottom style="hair">
        <color theme="0" tint="-0.14996795556505021"/>
      </bottom>
      <diagonal/>
    </border>
    <border>
      <left style="thin">
        <color indexed="64"/>
      </left>
      <right style="medium">
        <color rgb="FF002060"/>
      </right>
      <top style="hair">
        <color theme="0" tint="-0.14996795556505021"/>
      </top>
      <bottom style="hair">
        <color theme="0" tint="-0.14996795556505021"/>
      </bottom>
      <diagonal/>
    </border>
    <border>
      <left/>
      <right style="thin">
        <color theme="1"/>
      </right>
      <top style="thin">
        <color indexed="64"/>
      </top>
      <bottom/>
      <diagonal/>
    </border>
    <border>
      <left/>
      <right style="medium">
        <color rgb="FF002060"/>
      </right>
      <top style="medium">
        <color theme="2" tint="-0.749992370372631"/>
      </top>
      <bottom/>
      <diagonal/>
    </border>
    <border>
      <left/>
      <right style="medium">
        <color rgb="FF002060"/>
      </right>
      <top/>
      <bottom style="hair">
        <color theme="0" tint="-0.14996795556505021"/>
      </bottom>
      <diagonal/>
    </border>
    <border>
      <left/>
      <right style="medium">
        <color rgb="FF002060"/>
      </right>
      <top style="hair">
        <color theme="0" tint="-0.14996795556505021"/>
      </top>
      <bottom style="hair">
        <color theme="0" tint="-0.14996795556505021"/>
      </bottom>
      <diagonal/>
    </border>
    <border>
      <left/>
      <right style="medium">
        <color rgb="FF002060"/>
      </right>
      <top style="hair">
        <color theme="0" tint="-0.14996795556505021"/>
      </top>
      <bottom style="thin">
        <color indexed="64"/>
      </bottom>
      <diagonal/>
    </border>
    <border>
      <left/>
      <right style="medium">
        <color rgb="FF002060"/>
      </right>
      <top style="thin">
        <color indexed="64"/>
      </top>
      <bottom style="thin">
        <color indexed="64"/>
      </bottom>
      <diagonal/>
    </border>
    <border>
      <left/>
      <right style="medium">
        <color rgb="FF002060"/>
      </right>
      <top style="thin">
        <color indexed="64"/>
      </top>
      <bottom style="hair">
        <color theme="0" tint="-0.14996795556505021"/>
      </bottom>
      <diagonal/>
    </border>
    <border>
      <left/>
      <right style="medium">
        <color rgb="FF002060"/>
      </right>
      <top/>
      <bottom style="medium">
        <color theme="2" tint="-0.749992370372631"/>
      </bottom>
      <diagonal/>
    </border>
    <border>
      <left style="medium">
        <color rgb="FF002060"/>
      </left>
      <right style="medium">
        <color rgb="FF002060"/>
      </right>
      <top/>
      <bottom style="hair">
        <color theme="0" tint="-0.14996795556505021"/>
      </bottom>
      <diagonal/>
    </border>
    <border>
      <left style="medium">
        <color rgb="FF002060"/>
      </left>
      <right style="medium">
        <color rgb="FF002060"/>
      </right>
      <top style="hair">
        <color theme="0" tint="-0.14996795556505021"/>
      </top>
      <bottom style="hair">
        <color theme="0" tint="-0.14996795556505021"/>
      </bottom>
      <diagonal/>
    </border>
    <border>
      <left style="medium">
        <color rgb="FF002060"/>
      </left>
      <right style="medium">
        <color rgb="FF002060"/>
      </right>
      <top style="hair">
        <color theme="0" tint="-0.14996795556505021"/>
      </top>
      <bottom/>
      <diagonal/>
    </border>
    <border>
      <left style="medium">
        <color rgb="FF002060"/>
      </left>
      <right style="medium">
        <color rgb="FF002060"/>
      </right>
      <top/>
      <bottom/>
      <diagonal/>
    </border>
    <border>
      <left style="medium">
        <color rgb="FF002060"/>
      </left>
      <right style="medium">
        <color rgb="FF002060"/>
      </right>
      <top/>
      <bottom style="thin">
        <color indexed="64"/>
      </bottom>
      <diagonal/>
    </border>
    <border>
      <left style="medium">
        <color rgb="FF002060"/>
      </left>
      <right/>
      <top/>
      <bottom/>
      <diagonal/>
    </border>
    <border>
      <left style="medium">
        <color rgb="FF002060"/>
      </left>
      <right style="medium">
        <color rgb="FF002060"/>
      </right>
      <top style="thin">
        <color theme="2" tint="-0.749992370372631"/>
      </top>
      <bottom style="hair">
        <color theme="0" tint="-0.14996795556505021"/>
      </bottom>
      <diagonal/>
    </border>
    <border>
      <left style="medium">
        <color theme="2" tint="-0.749992370372631"/>
      </left>
      <right/>
      <top style="thin">
        <color theme="2" tint="-0.749992370372631"/>
      </top>
      <bottom style="hair">
        <color theme="0" tint="-0.14996795556505021"/>
      </bottom>
      <diagonal/>
    </border>
    <border>
      <left style="medium">
        <color rgb="FF002060"/>
      </left>
      <right style="medium">
        <color rgb="FF002060"/>
      </right>
      <top style="medium">
        <color theme="2" tint="-0.749992370372631"/>
      </top>
      <bottom style="thin">
        <color theme="2" tint="-0.749992370372631"/>
      </bottom>
      <diagonal/>
    </border>
    <border>
      <left style="medium">
        <color rgb="FF002060"/>
      </left>
      <right style="medium">
        <color rgb="FF002060"/>
      </right>
      <top/>
      <bottom style="thin">
        <color theme="2" tint="-0.749992370372631"/>
      </bottom>
      <diagonal/>
    </border>
    <border>
      <left style="medium">
        <color rgb="FF002060"/>
      </left>
      <right style="thin">
        <color theme="1"/>
      </right>
      <top style="thin">
        <color indexed="64"/>
      </top>
      <bottom style="thin">
        <color indexed="64"/>
      </bottom>
      <diagonal/>
    </border>
    <border>
      <left style="medium">
        <color rgb="FF002060"/>
      </left>
      <right style="medium">
        <color rgb="FF002060"/>
      </right>
      <top style="medium">
        <color theme="0"/>
      </top>
      <bottom/>
      <diagonal/>
    </border>
    <border>
      <left style="medium">
        <color rgb="FF002060"/>
      </left>
      <right style="medium">
        <color rgb="FF002060"/>
      </right>
      <top style="medium">
        <color theme="0"/>
      </top>
      <bottom style="hair">
        <color theme="0" tint="-0.14996795556505021"/>
      </bottom>
      <diagonal/>
    </border>
    <border>
      <left style="thin">
        <color indexed="12"/>
      </left>
      <right style="hair">
        <color indexed="64"/>
      </right>
      <top style="thin">
        <color theme="0" tint="-0.34998626667073579"/>
      </top>
      <bottom style="thin">
        <color theme="0" tint="-0.34998626667073579"/>
      </bottom>
      <diagonal/>
    </border>
    <border>
      <left style="hair">
        <color indexed="64"/>
      </left>
      <right style="hair">
        <color indexed="64"/>
      </right>
      <top style="thin">
        <color theme="0" tint="-0.34998626667073579"/>
      </top>
      <bottom style="thin">
        <color theme="0" tint="-0.34998626667073579"/>
      </bottom>
      <diagonal/>
    </border>
    <border>
      <left style="hair">
        <color indexed="64"/>
      </left>
      <right/>
      <top style="thin">
        <color theme="0" tint="-0.34998626667073579"/>
      </top>
      <bottom style="thin">
        <color theme="0" tint="-0.34998626667073579"/>
      </bottom>
      <diagonal/>
    </border>
    <border>
      <left/>
      <right style="medium">
        <color rgb="FF002060"/>
      </right>
      <top style="medium">
        <color theme="2" tint="-0.749992370372631"/>
      </top>
      <bottom style="thin">
        <color theme="2" tint="-0.749992370372631"/>
      </bottom>
      <diagonal/>
    </border>
    <border>
      <left style="medium">
        <color theme="2" tint="-0.749992370372631"/>
      </left>
      <right/>
      <top style="hair">
        <color theme="0" tint="-0.14996795556505021"/>
      </top>
      <bottom/>
      <diagonal/>
    </border>
    <border>
      <left/>
      <right style="medium">
        <color rgb="FF002060"/>
      </right>
      <top style="hair">
        <color theme="0" tint="-0.14996795556505021"/>
      </top>
      <bottom/>
      <diagonal/>
    </border>
  </borders>
  <cellStyleXfs count="5">
    <xf numFmtId="0" fontId="0" fillId="0" borderId="0"/>
    <xf numFmtId="0" fontId="13" fillId="0" borderId="0" applyNumberFormat="0" applyFill="0" applyBorder="0" applyAlignment="0" applyProtection="0">
      <alignment vertical="top"/>
      <protection locked="0"/>
    </xf>
    <xf numFmtId="43" fontId="1" fillId="0" borderId="0" applyFont="0" applyFill="0" applyBorder="0" applyAlignment="0" applyProtection="0"/>
    <xf numFmtId="44" fontId="1" fillId="0" borderId="0" applyFont="0" applyFill="0" applyBorder="0" applyAlignment="0" applyProtection="0"/>
    <xf numFmtId="9" fontId="1" fillId="0" borderId="0" applyFont="0" applyFill="0" applyBorder="0" applyAlignment="0" applyProtection="0"/>
  </cellStyleXfs>
  <cellXfs count="508">
    <xf numFmtId="0" fontId="0" fillId="0" borderId="0" xfId="0"/>
    <xf numFmtId="0" fontId="4" fillId="0" borderId="0" xfId="0" applyFont="1"/>
    <xf numFmtId="0" fontId="4" fillId="0" borderId="0" xfId="0" applyFont="1" applyBorder="1"/>
    <xf numFmtId="0" fontId="2" fillId="0" borderId="0" xfId="0" applyFont="1" applyBorder="1" applyAlignment="1">
      <alignment horizontal="center"/>
    </xf>
    <xf numFmtId="0" fontId="6" fillId="0" borderId="0" xfId="0" applyFont="1" applyAlignment="1" applyProtection="1">
      <alignment horizontal="center" vertical="center"/>
      <protection hidden="1"/>
    </xf>
    <xf numFmtId="0" fontId="5" fillId="0" borderId="0" xfId="0" applyFont="1" applyAlignment="1" applyProtection="1">
      <alignment horizontal="center" vertical="center"/>
      <protection hidden="1"/>
    </xf>
    <xf numFmtId="0" fontId="5" fillId="0" borderId="0" xfId="0" applyFont="1" applyAlignment="1" applyProtection="1">
      <alignment vertical="center"/>
      <protection hidden="1"/>
    </xf>
    <xf numFmtId="0" fontId="5" fillId="0" borderId="0" xfId="0" applyFont="1" applyProtection="1">
      <protection hidden="1"/>
    </xf>
    <xf numFmtId="0" fontId="6" fillId="0" borderId="0" xfId="0" applyFont="1" applyAlignment="1" applyProtection="1">
      <alignment horizontal="left" vertical="center"/>
      <protection hidden="1"/>
    </xf>
    <xf numFmtId="49" fontId="5" fillId="0" borderId="0" xfId="0" applyNumberFormat="1" applyFont="1" applyAlignment="1" applyProtection="1">
      <alignment horizontal="right" vertical="center"/>
      <protection hidden="1"/>
    </xf>
    <xf numFmtId="49" fontId="5" fillId="0" borderId="0" xfId="0" applyNumberFormat="1" applyFont="1" applyBorder="1" applyAlignment="1" applyProtection="1">
      <alignment horizontal="left" vertical="center"/>
      <protection hidden="1"/>
    </xf>
    <xf numFmtId="0" fontId="5" fillId="0" borderId="1" xfId="0" applyFont="1" applyBorder="1" applyAlignment="1" applyProtection="1">
      <alignment horizontal="left" vertical="center"/>
      <protection hidden="1"/>
    </xf>
    <xf numFmtId="0" fontId="5" fillId="0" borderId="0" xfId="0" applyFont="1" applyBorder="1" applyAlignment="1" applyProtection="1">
      <alignment horizontal="left" vertical="center"/>
      <protection hidden="1"/>
    </xf>
    <xf numFmtId="0" fontId="5" fillId="0" borderId="0" xfId="0" applyFont="1" applyBorder="1" applyAlignment="1" applyProtection="1">
      <alignment horizontal="center" vertical="center"/>
      <protection hidden="1"/>
    </xf>
    <xf numFmtId="0" fontId="5" fillId="0" borderId="0" xfId="0" applyFont="1" applyFill="1" applyBorder="1" applyAlignment="1" applyProtection="1">
      <alignment horizontal="center" vertical="center"/>
      <protection hidden="1"/>
    </xf>
    <xf numFmtId="0" fontId="5" fillId="2" borderId="0" xfId="0" applyFont="1" applyFill="1" applyBorder="1" applyAlignment="1" applyProtection="1">
      <alignment vertical="center"/>
      <protection hidden="1"/>
    </xf>
    <xf numFmtId="0" fontId="5" fillId="2" borderId="0" xfId="0" applyFont="1" applyFill="1" applyBorder="1" applyAlignment="1" applyProtection="1">
      <alignment horizontal="left" vertical="center"/>
      <protection hidden="1"/>
    </xf>
    <xf numFmtId="0" fontId="5" fillId="2" borderId="0" xfId="0" applyFont="1" applyFill="1" applyBorder="1" applyAlignment="1" applyProtection="1">
      <alignment horizontal="right" vertical="center"/>
      <protection hidden="1"/>
    </xf>
    <xf numFmtId="0" fontId="5" fillId="0" borderId="0" xfId="0" applyFont="1" applyFill="1" applyProtection="1">
      <protection hidden="1"/>
    </xf>
    <xf numFmtId="0" fontId="5" fillId="0" borderId="0" xfId="0" applyFont="1" applyFill="1" applyBorder="1" applyAlignment="1" applyProtection="1">
      <alignment vertical="center"/>
      <protection hidden="1"/>
    </xf>
    <xf numFmtId="0" fontId="5" fillId="0" borderId="0" xfId="0" applyFont="1" applyFill="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2" xfId="0" applyFont="1" applyFill="1" applyBorder="1" applyAlignment="1" applyProtection="1">
      <alignment horizontal="center" vertical="center" wrapText="1"/>
      <protection hidden="1"/>
    </xf>
    <xf numFmtId="0" fontId="5" fillId="0" borderId="0" xfId="0" applyFont="1" applyBorder="1" applyProtection="1">
      <protection hidden="1"/>
    </xf>
    <xf numFmtId="4" fontId="5" fillId="0" borderId="0" xfId="2" applyNumberFormat="1" applyFont="1" applyFill="1" applyBorder="1" applyAlignment="1" applyProtection="1">
      <alignment horizontal="right" vertical="center"/>
      <protection hidden="1"/>
    </xf>
    <xf numFmtId="4" fontId="5" fillId="0" borderId="3" xfId="2" applyNumberFormat="1" applyFont="1" applyFill="1" applyBorder="1" applyAlignment="1" applyProtection="1">
      <alignment horizontal="right" vertical="center"/>
      <protection hidden="1"/>
    </xf>
    <xf numFmtId="4" fontId="6" fillId="3" borderId="4" xfId="2" applyNumberFormat="1" applyFont="1" applyFill="1" applyBorder="1" applyAlignment="1" applyProtection="1">
      <alignment horizontal="right" vertical="center"/>
      <protection hidden="1"/>
    </xf>
    <xf numFmtId="4" fontId="6" fillId="0" borderId="0" xfId="2" applyNumberFormat="1" applyFont="1" applyFill="1" applyBorder="1" applyAlignment="1" applyProtection="1">
      <alignment horizontal="right" vertical="center"/>
      <protection hidden="1"/>
    </xf>
    <xf numFmtId="4" fontId="5" fillId="0" borderId="0" xfId="2" applyNumberFormat="1" applyFont="1" applyBorder="1" applyAlignment="1" applyProtection="1">
      <alignment horizontal="right" vertical="center"/>
      <protection hidden="1"/>
    </xf>
    <xf numFmtId="4" fontId="5" fillId="0" borderId="3" xfId="2" applyNumberFormat="1" applyFont="1" applyBorder="1" applyAlignment="1" applyProtection="1">
      <alignment horizontal="right" vertical="center"/>
      <protection hidden="1"/>
    </xf>
    <xf numFmtId="4" fontId="5" fillId="0" borderId="5" xfId="2" applyNumberFormat="1" applyFont="1" applyBorder="1" applyAlignment="1" applyProtection="1">
      <alignment horizontal="right" vertical="center"/>
      <protection hidden="1"/>
    </xf>
    <xf numFmtId="4" fontId="6" fillId="0" borderId="4" xfId="2" applyNumberFormat="1" applyFont="1" applyBorder="1" applyAlignment="1" applyProtection="1">
      <alignment horizontal="right" vertical="center"/>
      <protection hidden="1"/>
    </xf>
    <xf numFmtId="4" fontId="6" fillId="0" borderId="0" xfId="2" applyNumberFormat="1" applyFont="1" applyBorder="1" applyAlignment="1" applyProtection="1">
      <alignment horizontal="right" vertical="center"/>
      <protection hidden="1"/>
    </xf>
    <xf numFmtId="4" fontId="5" fillId="0" borderId="1" xfId="2" applyNumberFormat="1" applyFont="1" applyBorder="1" applyAlignment="1" applyProtection="1">
      <alignment horizontal="right" vertical="center"/>
      <protection hidden="1"/>
    </xf>
    <xf numFmtId="4" fontId="9" fillId="0" borderId="1" xfId="2" applyNumberFormat="1" applyFont="1" applyBorder="1" applyAlignment="1" applyProtection="1">
      <alignment horizontal="right" vertical="center"/>
      <protection hidden="1"/>
    </xf>
    <xf numFmtId="4" fontId="7" fillId="0" borderId="3" xfId="2" applyNumberFormat="1" applyFont="1" applyBorder="1" applyAlignment="1" applyProtection="1">
      <alignment horizontal="right" vertical="center"/>
      <protection hidden="1"/>
    </xf>
    <xf numFmtId="4" fontId="7" fillId="0" borderId="0" xfId="2" applyNumberFormat="1" applyFont="1" applyBorder="1" applyAlignment="1" applyProtection="1">
      <alignment horizontal="right" vertical="center"/>
      <protection hidden="1"/>
    </xf>
    <xf numFmtId="4" fontId="7" fillId="0" borderId="0" xfId="2" applyNumberFormat="1" applyFont="1" applyFill="1" applyBorder="1" applyAlignment="1" applyProtection="1">
      <alignment horizontal="right" vertical="center"/>
      <protection hidden="1"/>
    </xf>
    <xf numFmtId="4" fontId="9" fillId="0" borderId="3" xfId="2" applyNumberFormat="1" applyFont="1" applyBorder="1" applyAlignment="1" applyProtection="1">
      <alignment horizontal="right" vertical="center"/>
      <protection hidden="1"/>
    </xf>
    <xf numFmtId="4" fontId="9" fillId="0" borderId="0" xfId="2" applyNumberFormat="1" applyFont="1" applyBorder="1" applyAlignment="1" applyProtection="1">
      <alignment horizontal="right" vertical="center"/>
      <protection hidden="1"/>
    </xf>
    <xf numFmtId="4" fontId="6" fillId="0" borderId="6" xfId="2" applyNumberFormat="1" applyFont="1" applyBorder="1" applyAlignment="1" applyProtection="1">
      <alignment horizontal="right" vertical="center"/>
      <protection hidden="1"/>
    </xf>
    <xf numFmtId="4" fontId="10" fillId="0" borderId="0" xfId="2" applyNumberFormat="1" applyFont="1" applyFill="1" applyBorder="1" applyAlignment="1" applyProtection="1">
      <alignment horizontal="right" vertical="center"/>
      <protection hidden="1"/>
    </xf>
    <xf numFmtId="4" fontId="5" fillId="4" borderId="0" xfId="2" applyNumberFormat="1" applyFont="1" applyFill="1" applyBorder="1" applyAlignment="1" applyProtection="1">
      <alignment horizontal="right" vertical="center"/>
      <protection locked="0" hidden="1"/>
    </xf>
    <xf numFmtId="4" fontId="5" fillId="4" borderId="3" xfId="2" applyNumberFormat="1" applyFont="1" applyFill="1" applyBorder="1" applyAlignment="1" applyProtection="1">
      <alignment horizontal="right" vertical="center"/>
      <protection locked="0" hidden="1"/>
    </xf>
    <xf numFmtId="4" fontId="10" fillId="4" borderId="7" xfId="2" applyNumberFormat="1" applyFont="1" applyFill="1" applyBorder="1" applyAlignment="1" applyProtection="1">
      <alignment horizontal="right" vertical="center"/>
      <protection locked="0" hidden="1"/>
    </xf>
    <xf numFmtId="49" fontId="15" fillId="0" borderId="0" xfId="0" applyNumberFormat="1" applyFont="1" applyBorder="1" applyAlignment="1" applyProtection="1">
      <alignment horizontal="left" vertical="center"/>
      <protection hidden="1"/>
    </xf>
    <xf numFmtId="0" fontId="5" fillId="0" borderId="0" xfId="0" applyFont="1" applyFill="1" applyAlignment="1" applyProtection="1">
      <alignment vertical="center"/>
      <protection hidden="1"/>
    </xf>
    <xf numFmtId="4" fontId="5" fillId="0" borderId="0" xfId="0" applyNumberFormat="1" applyFont="1" applyProtection="1">
      <protection hidden="1"/>
    </xf>
    <xf numFmtId="0" fontId="9" fillId="0" borderId="8" xfId="0" applyFont="1" applyBorder="1" applyAlignment="1" applyProtection="1">
      <alignment horizontal="center" vertical="center" wrapText="1"/>
      <protection hidden="1"/>
    </xf>
    <xf numFmtId="4" fontId="7" fillId="0" borderId="1" xfId="2" applyNumberFormat="1" applyFont="1" applyBorder="1" applyAlignment="1" applyProtection="1">
      <alignment horizontal="right" vertical="center"/>
      <protection hidden="1"/>
    </xf>
    <xf numFmtId="4" fontId="5" fillId="0" borderId="6" xfId="2" applyNumberFormat="1" applyFont="1" applyFill="1" applyBorder="1" applyAlignment="1" applyProtection="1">
      <alignment horizontal="right" vertical="center"/>
      <protection hidden="1"/>
    </xf>
    <xf numFmtId="4" fontId="5" fillId="0" borderId="0" xfId="2" applyNumberFormat="1" applyFont="1" applyFill="1" applyBorder="1" applyAlignment="1" applyProtection="1">
      <alignment horizontal="right" vertical="center"/>
      <protection locked="0" hidden="1"/>
    </xf>
    <xf numFmtId="4" fontId="9" fillId="0" borderId="0" xfId="2" applyNumberFormat="1" applyFont="1" applyFill="1" applyBorder="1" applyAlignment="1" applyProtection="1">
      <alignment horizontal="right" vertical="center"/>
      <protection hidden="1"/>
    </xf>
    <xf numFmtId="4" fontId="14" fillId="0" borderId="0" xfId="2" applyNumberFormat="1" applyFont="1" applyFill="1" applyBorder="1" applyAlignment="1" applyProtection="1">
      <alignment horizontal="right" vertical="center"/>
      <protection hidden="1"/>
    </xf>
    <xf numFmtId="4" fontId="14" fillId="5" borderId="9" xfId="2" applyNumberFormat="1" applyFont="1" applyFill="1" applyBorder="1" applyAlignment="1" applyProtection="1">
      <alignment horizontal="right" vertical="center"/>
      <protection hidden="1"/>
    </xf>
    <xf numFmtId="0" fontId="5" fillId="0" borderId="3" xfId="0" applyFont="1" applyBorder="1" applyAlignment="1" applyProtection="1">
      <alignment horizontal="left" vertical="center"/>
      <protection hidden="1"/>
    </xf>
    <xf numFmtId="0" fontId="5" fillId="0" borderId="10" xfId="0" applyFont="1" applyBorder="1" applyAlignment="1" applyProtection="1">
      <alignment horizontal="left" vertical="center"/>
      <protection hidden="1"/>
    </xf>
    <xf numFmtId="0" fontId="5" fillId="0" borderId="11" xfId="0" applyFont="1" applyBorder="1" applyAlignment="1" applyProtection="1">
      <alignment horizontal="left" vertical="center"/>
      <protection hidden="1"/>
    </xf>
    <xf numFmtId="0" fontId="6" fillId="0" borderId="12" xfId="0" applyFont="1" applyBorder="1" applyAlignment="1" applyProtection="1">
      <alignment horizontal="left" vertical="center"/>
      <protection hidden="1"/>
    </xf>
    <xf numFmtId="0" fontId="6" fillId="0" borderId="13" xfId="0" applyFont="1" applyBorder="1" applyAlignment="1" applyProtection="1">
      <alignment horizontal="center" vertical="center"/>
      <protection hidden="1"/>
    </xf>
    <xf numFmtId="0" fontId="6" fillId="0" borderId="13" xfId="0" applyFont="1" applyBorder="1" applyAlignment="1" applyProtection="1">
      <alignment horizontal="left" vertical="center"/>
      <protection hidden="1"/>
    </xf>
    <xf numFmtId="0" fontId="5" fillId="0" borderId="14" xfId="0" applyFont="1" applyBorder="1" applyAlignment="1" applyProtection="1">
      <alignment horizontal="left" vertical="center"/>
      <protection hidden="1"/>
    </xf>
    <xf numFmtId="0" fontId="6" fillId="0" borderId="0" xfId="0" applyFont="1" applyBorder="1" applyAlignment="1" applyProtection="1">
      <alignment horizontal="left" vertical="center"/>
      <protection hidden="1"/>
    </xf>
    <xf numFmtId="49" fontId="5" fillId="0" borderId="0" xfId="0" applyNumberFormat="1" applyFont="1" applyAlignment="1" applyProtection="1">
      <alignment vertical="center"/>
      <protection hidden="1"/>
    </xf>
    <xf numFmtId="0" fontId="5" fillId="2" borderId="14" xfId="0" applyFont="1" applyFill="1" applyBorder="1" applyAlignment="1" applyProtection="1">
      <alignment horizontal="left" vertical="center"/>
      <protection hidden="1"/>
    </xf>
    <xf numFmtId="0" fontId="5" fillId="0" borderId="14" xfId="0" applyFont="1" applyFill="1" applyBorder="1" applyAlignment="1" applyProtection="1">
      <alignment horizontal="left" vertical="center"/>
      <protection hidden="1"/>
    </xf>
    <xf numFmtId="0" fontId="6" fillId="0" borderId="14" xfId="0" applyFont="1" applyBorder="1" applyAlignment="1" applyProtection="1">
      <alignment horizontal="left" vertical="center"/>
      <protection hidden="1"/>
    </xf>
    <xf numFmtId="43" fontId="5" fillId="0" borderId="0" xfId="0" applyNumberFormat="1" applyFont="1" applyFill="1" applyBorder="1" applyAlignment="1" applyProtection="1">
      <alignment vertical="center"/>
      <protection hidden="1"/>
    </xf>
    <xf numFmtId="43" fontId="5" fillId="0" borderId="0" xfId="0" applyNumberFormat="1" applyFont="1" applyFill="1" applyBorder="1" applyAlignment="1" applyProtection="1">
      <alignment vertical="center"/>
      <protection locked="0" hidden="1"/>
    </xf>
    <xf numFmtId="0" fontId="5" fillId="4" borderId="3" xfId="0" applyFont="1" applyFill="1" applyBorder="1" applyAlignment="1" applyProtection="1">
      <alignment vertical="center"/>
      <protection locked="0" hidden="1"/>
    </xf>
    <xf numFmtId="0" fontId="5" fillId="0" borderId="0" xfId="0" applyFont="1" applyBorder="1" applyAlignment="1" applyProtection="1">
      <alignment vertical="center"/>
      <protection hidden="1"/>
    </xf>
    <xf numFmtId="0" fontId="6" fillId="3" borderId="15" xfId="0" applyFont="1" applyFill="1" applyBorder="1" applyAlignment="1" applyProtection="1">
      <alignment horizontal="left" vertical="center"/>
      <protection hidden="1"/>
    </xf>
    <xf numFmtId="0" fontId="5"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horizontal="right" vertical="center"/>
      <protection hidden="1"/>
    </xf>
    <xf numFmtId="4" fontId="6" fillId="0" borderId="0" xfId="0" applyNumberFormat="1" applyFont="1" applyFill="1" applyBorder="1" applyAlignment="1" applyProtection="1">
      <alignment horizontal="right" vertical="center"/>
      <protection hidden="1"/>
    </xf>
    <xf numFmtId="2" fontId="5" fillId="0" borderId="0" xfId="0" applyNumberFormat="1" applyFont="1" applyBorder="1" applyAlignment="1" applyProtection="1">
      <alignment vertical="center"/>
      <protection hidden="1"/>
    </xf>
    <xf numFmtId="2" fontId="5" fillId="0" borderId="0" xfId="0" applyNumberFormat="1" applyFont="1" applyFill="1" applyBorder="1" applyAlignment="1" applyProtection="1">
      <alignment vertical="center"/>
      <protection hidden="1"/>
    </xf>
    <xf numFmtId="2" fontId="5" fillId="0" borderId="0" xfId="0" applyNumberFormat="1" applyFont="1" applyAlignment="1" applyProtection="1">
      <alignment vertical="center"/>
      <protection hidden="1"/>
    </xf>
    <xf numFmtId="2" fontId="5" fillId="0" borderId="3" xfId="0" applyNumberFormat="1" applyFont="1" applyBorder="1" applyAlignment="1" applyProtection="1">
      <alignment vertical="center"/>
      <protection hidden="1"/>
    </xf>
    <xf numFmtId="4" fontId="5" fillId="0" borderId="0" xfId="0" applyNumberFormat="1" applyFont="1" applyFill="1" applyBorder="1" applyAlignment="1" applyProtection="1">
      <alignment horizontal="right" vertical="center"/>
      <protection hidden="1"/>
    </xf>
    <xf numFmtId="4" fontId="5" fillId="0" borderId="3" xfId="0" applyNumberFormat="1" applyFont="1" applyFill="1" applyBorder="1" applyAlignment="1" applyProtection="1">
      <alignment horizontal="right" vertical="center"/>
      <protection hidden="1"/>
    </xf>
    <xf numFmtId="0" fontId="5" fillId="0" borderId="16" xfId="0" applyFont="1" applyBorder="1" applyAlignment="1" applyProtection="1">
      <alignment horizontal="left" vertical="center"/>
      <protection hidden="1"/>
    </xf>
    <xf numFmtId="0" fontId="5" fillId="0" borderId="5" xfId="0" applyFont="1" applyBorder="1" applyAlignment="1" applyProtection="1">
      <alignment horizontal="left" vertical="center"/>
      <protection hidden="1"/>
    </xf>
    <xf numFmtId="2" fontId="5" fillId="0" borderId="5" xfId="0" applyNumberFormat="1" applyFont="1" applyBorder="1" applyAlignment="1" applyProtection="1">
      <alignment vertical="center"/>
      <protection hidden="1"/>
    </xf>
    <xf numFmtId="0" fontId="6" fillId="0" borderId="15" xfId="0" applyFont="1" applyBorder="1" applyAlignment="1" applyProtection="1">
      <alignment horizontal="left" vertical="center"/>
      <protection hidden="1"/>
    </xf>
    <xf numFmtId="0" fontId="6" fillId="0" borderId="4" xfId="0" applyFont="1" applyBorder="1" applyAlignment="1" applyProtection="1">
      <alignment horizontal="left" vertical="center"/>
      <protection hidden="1"/>
    </xf>
    <xf numFmtId="4" fontId="6" fillId="0" borderId="4" xfId="0" applyNumberFormat="1" applyFont="1" applyBorder="1" applyAlignment="1" applyProtection="1">
      <alignment vertical="center"/>
      <protection hidden="1"/>
    </xf>
    <xf numFmtId="4" fontId="6" fillId="0" borderId="0" xfId="0" applyNumberFormat="1" applyFont="1" applyFill="1" applyBorder="1" applyAlignment="1" applyProtection="1">
      <alignment vertical="center"/>
      <protection hidden="1"/>
    </xf>
    <xf numFmtId="0" fontId="6" fillId="3" borderId="4" xfId="0" applyFont="1" applyFill="1" applyBorder="1" applyAlignment="1" applyProtection="1">
      <alignment horizontal="left" vertical="center"/>
      <protection hidden="1"/>
    </xf>
    <xf numFmtId="4" fontId="6" fillId="3" borderId="4" xfId="0" applyNumberFormat="1" applyFont="1" applyFill="1" applyBorder="1" applyAlignment="1" applyProtection="1">
      <alignment vertical="center"/>
      <protection hidden="1"/>
    </xf>
    <xf numFmtId="4" fontId="5" fillId="0" borderId="17" xfId="0" applyNumberFormat="1" applyFont="1" applyBorder="1" applyAlignment="1" applyProtection="1">
      <alignment vertical="center"/>
      <protection hidden="1"/>
    </xf>
    <xf numFmtId="4" fontId="5" fillId="0" borderId="0" xfId="0" applyNumberFormat="1" applyFont="1" applyFill="1" applyBorder="1" applyAlignment="1" applyProtection="1">
      <alignment vertical="center"/>
      <protection hidden="1"/>
    </xf>
    <xf numFmtId="0" fontId="8" fillId="0" borderId="14" xfId="0" applyFont="1" applyBorder="1" applyAlignment="1" applyProtection="1">
      <alignment horizontal="left" vertical="center"/>
      <protection hidden="1"/>
    </xf>
    <xf numFmtId="0" fontId="5" fillId="0" borderId="18" xfId="0" applyFont="1" applyBorder="1" applyAlignment="1" applyProtection="1">
      <alignment horizontal="left" vertical="center"/>
      <protection hidden="1"/>
    </xf>
    <xf numFmtId="0" fontId="5" fillId="0" borderId="19" xfId="0" applyFont="1" applyBorder="1" applyAlignment="1" applyProtection="1">
      <alignment horizontal="left" vertical="center"/>
      <protection hidden="1"/>
    </xf>
    <xf numFmtId="0" fontId="5" fillId="0" borderId="20" xfId="0" applyFont="1" applyBorder="1" applyAlignment="1" applyProtection="1">
      <alignment horizontal="left" vertical="center"/>
      <protection hidden="1"/>
    </xf>
    <xf numFmtId="2" fontId="9" fillId="0" borderId="1" xfId="0" applyNumberFormat="1" applyFont="1" applyBorder="1" applyAlignment="1" applyProtection="1">
      <alignment vertical="center"/>
      <protection hidden="1"/>
    </xf>
    <xf numFmtId="2" fontId="9" fillId="0" borderId="0" xfId="0" applyNumberFormat="1" applyFont="1" applyFill="1" applyBorder="1" applyAlignment="1" applyProtection="1">
      <alignment vertical="center"/>
      <protection hidden="1"/>
    </xf>
    <xf numFmtId="4" fontId="5" fillId="0" borderId="0" xfId="0" applyNumberFormat="1" applyFont="1" applyBorder="1" applyAlignment="1" applyProtection="1">
      <alignment vertical="center"/>
      <protection hidden="1"/>
    </xf>
    <xf numFmtId="2" fontId="9" fillId="0" borderId="3" xfId="0" applyNumberFormat="1" applyFont="1" applyBorder="1" applyAlignment="1" applyProtection="1">
      <alignment vertical="center"/>
      <protection hidden="1"/>
    </xf>
    <xf numFmtId="0" fontId="7" fillId="0" borderId="0" xfId="0" applyFont="1" applyBorder="1" applyAlignment="1" applyProtection="1">
      <alignment vertical="center"/>
      <protection hidden="1"/>
    </xf>
    <xf numFmtId="0" fontId="7" fillId="0" borderId="0" xfId="0" applyFont="1" applyFill="1" applyBorder="1" applyAlignment="1" applyProtection="1">
      <alignment vertical="center"/>
      <protection hidden="1"/>
    </xf>
    <xf numFmtId="0" fontId="6" fillId="0" borderId="10" xfId="0" applyFont="1" applyBorder="1" applyAlignment="1" applyProtection="1">
      <alignment horizontal="left" vertical="center"/>
      <protection hidden="1"/>
    </xf>
    <xf numFmtId="2" fontId="5" fillId="0" borderId="3" xfId="0" applyNumberFormat="1" applyFont="1" applyBorder="1" applyAlignment="1" applyProtection="1">
      <alignment horizontal="left" vertical="center"/>
      <protection hidden="1"/>
    </xf>
    <xf numFmtId="2" fontId="5" fillId="0" borderId="0" xfId="0" applyNumberFormat="1" applyFont="1" applyBorder="1" applyAlignment="1" applyProtection="1">
      <alignment horizontal="left" vertical="center"/>
      <protection hidden="1"/>
    </xf>
    <xf numFmtId="2" fontId="5" fillId="0" borderId="1" xfId="0" applyNumberFormat="1" applyFont="1" applyBorder="1" applyAlignment="1" applyProtection="1">
      <alignment horizontal="left" vertical="center"/>
      <protection hidden="1"/>
    </xf>
    <xf numFmtId="0" fontId="5" fillId="0" borderId="6" xfId="0" applyFont="1" applyBorder="1" applyAlignment="1" applyProtection="1">
      <alignment horizontal="left" vertical="center"/>
      <protection hidden="1"/>
    </xf>
    <xf numFmtId="2" fontId="5" fillId="0" borderId="6" xfId="0" applyNumberFormat="1" applyFont="1" applyBorder="1" applyAlignment="1" applyProtection="1">
      <alignment horizontal="left" vertical="center"/>
      <protection hidden="1"/>
    </xf>
    <xf numFmtId="0" fontId="5" fillId="0" borderId="6" xfId="0" applyFont="1" applyBorder="1" applyAlignment="1" applyProtection="1">
      <alignment vertical="center"/>
      <protection hidden="1"/>
    </xf>
    <xf numFmtId="2" fontId="6" fillId="0" borderId="21" xfId="0" applyNumberFormat="1" applyFont="1" applyBorder="1" applyAlignment="1" applyProtection="1">
      <alignment horizontal="right" vertical="center"/>
      <protection hidden="1"/>
    </xf>
    <xf numFmtId="0" fontId="6" fillId="0" borderId="22" xfId="0" applyFont="1" applyBorder="1" applyAlignment="1" applyProtection="1">
      <alignment horizontal="left" vertical="center"/>
      <protection hidden="1"/>
    </xf>
    <xf numFmtId="2" fontId="6" fillId="0" borderId="6" xfId="0" applyNumberFormat="1" applyFont="1" applyBorder="1" applyAlignment="1" applyProtection="1">
      <alignment horizontal="right" vertical="center"/>
      <protection hidden="1"/>
    </xf>
    <xf numFmtId="0" fontId="6" fillId="3" borderId="23" xfId="0" applyFont="1" applyFill="1" applyBorder="1" applyAlignment="1" applyProtection="1">
      <alignment horizontal="left" vertical="center"/>
      <protection hidden="1"/>
    </xf>
    <xf numFmtId="0" fontId="6" fillId="3" borderId="24" xfId="0" applyFont="1" applyFill="1" applyBorder="1" applyAlignment="1" applyProtection="1">
      <alignment horizontal="left" vertical="center"/>
      <protection hidden="1"/>
    </xf>
    <xf numFmtId="2" fontId="6" fillId="3" borderId="4" xfId="0" applyNumberFormat="1" applyFont="1" applyFill="1" applyBorder="1" applyAlignment="1" applyProtection="1">
      <alignment vertical="center"/>
      <protection hidden="1"/>
    </xf>
    <xf numFmtId="2" fontId="6" fillId="0" borderId="0" xfId="0" applyNumberFormat="1" applyFont="1" applyFill="1" applyBorder="1" applyAlignment="1" applyProtection="1">
      <alignment vertical="center"/>
      <protection hidden="1"/>
    </xf>
    <xf numFmtId="2" fontId="6" fillId="0" borderId="0" xfId="0" applyNumberFormat="1" applyFont="1" applyBorder="1" applyAlignment="1" applyProtection="1">
      <alignment vertical="center"/>
      <protection hidden="1"/>
    </xf>
    <xf numFmtId="0" fontId="5" fillId="0" borderId="22" xfId="0" applyFont="1" applyBorder="1" applyAlignment="1" applyProtection="1">
      <alignment horizontal="left" vertical="center"/>
      <protection hidden="1"/>
    </xf>
    <xf numFmtId="2" fontId="7" fillId="0" borderId="1" xfId="0" applyNumberFormat="1" applyFont="1" applyBorder="1" applyAlignment="1" applyProtection="1">
      <alignment vertical="center"/>
      <protection hidden="1"/>
    </xf>
    <xf numFmtId="2" fontId="7" fillId="0" borderId="0" xfId="0" applyNumberFormat="1" applyFont="1" applyFill="1" applyBorder="1" applyAlignment="1" applyProtection="1">
      <alignment vertical="center"/>
      <protection hidden="1"/>
    </xf>
    <xf numFmtId="0" fontId="14" fillId="5" borderId="25" xfId="0" applyFont="1" applyFill="1" applyBorder="1" applyAlignment="1" applyProtection="1">
      <alignment horizontal="left" vertical="center"/>
      <protection hidden="1"/>
    </xf>
    <xf numFmtId="0" fontId="14" fillId="5" borderId="9" xfId="0" applyFont="1" applyFill="1" applyBorder="1" applyAlignment="1" applyProtection="1">
      <alignment horizontal="left" vertical="center"/>
      <protection hidden="1"/>
    </xf>
    <xf numFmtId="0" fontId="6" fillId="0" borderId="0" xfId="0" applyFont="1" applyBorder="1" applyAlignment="1" applyProtection="1">
      <alignment vertical="center"/>
      <protection hidden="1"/>
    </xf>
    <xf numFmtId="14" fontId="5" fillId="0" borderId="0" xfId="0" applyNumberFormat="1" applyFont="1" applyAlignment="1" applyProtection="1">
      <alignment vertical="center"/>
      <protection hidden="1"/>
    </xf>
    <xf numFmtId="0" fontId="5" fillId="0" borderId="0" xfId="0" applyFont="1" applyAlignment="1" applyProtection="1">
      <alignment horizontal="left" vertical="center"/>
      <protection hidden="1"/>
    </xf>
    <xf numFmtId="164" fontId="5" fillId="0" borderId="0" xfId="3" applyNumberFormat="1" applyFont="1" applyAlignment="1" applyProtection="1">
      <alignment horizontal="left" vertical="center"/>
      <protection hidden="1"/>
    </xf>
    <xf numFmtId="2" fontId="5" fillId="0" borderId="0" xfId="3" applyNumberFormat="1" applyFont="1" applyAlignment="1" applyProtection="1">
      <alignment horizontal="left" vertical="center"/>
      <protection hidden="1"/>
    </xf>
    <xf numFmtId="4" fontId="5" fillId="0" borderId="0" xfId="0" applyNumberFormat="1" applyFont="1" applyAlignment="1" applyProtection="1">
      <alignment horizontal="left"/>
      <protection hidden="1"/>
    </xf>
    <xf numFmtId="4" fontId="5" fillId="7" borderId="3" xfId="2" applyNumberFormat="1" applyFont="1" applyFill="1" applyBorder="1" applyAlignment="1" applyProtection="1">
      <alignment horizontal="right" vertical="center"/>
      <protection hidden="1"/>
    </xf>
    <xf numFmtId="4" fontId="6" fillId="0" borderId="0" xfId="0" applyNumberFormat="1" applyFont="1" applyBorder="1" applyAlignment="1" applyProtection="1">
      <alignment vertical="center"/>
      <protection hidden="1"/>
    </xf>
    <xf numFmtId="0" fontId="17" fillId="0" borderId="0" xfId="0" applyFont="1"/>
    <xf numFmtId="0" fontId="5" fillId="0" borderId="48" xfId="0" applyFont="1" applyFill="1" applyBorder="1" applyAlignment="1" applyProtection="1">
      <alignment horizontal="left" vertical="center"/>
      <protection hidden="1"/>
    </xf>
    <xf numFmtId="0" fontId="6" fillId="0" borderId="49" xfId="0" applyFont="1" applyBorder="1" applyAlignment="1" applyProtection="1">
      <alignment horizontal="left" vertical="center"/>
      <protection hidden="1"/>
    </xf>
    <xf numFmtId="0" fontId="5" fillId="0" borderId="50" xfId="0" applyFont="1" applyFill="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6" borderId="0" xfId="0" applyFont="1" applyFill="1" applyBorder="1" applyAlignment="1" applyProtection="1">
      <alignment horizontal="center" vertical="center"/>
      <protection locked="0" hidden="1"/>
    </xf>
    <xf numFmtId="0" fontId="5" fillId="6" borderId="49" xfId="0" applyFont="1" applyFill="1" applyBorder="1" applyAlignment="1" applyProtection="1">
      <alignment horizontal="center" vertical="center"/>
      <protection locked="0" hidden="1"/>
    </xf>
    <xf numFmtId="0" fontId="5" fillId="0" borderId="51" xfId="0" applyFont="1" applyBorder="1" applyAlignment="1" applyProtection="1">
      <alignment horizontal="left" vertical="center"/>
      <protection hidden="1"/>
    </xf>
    <xf numFmtId="0" fontId="5" fillId="0" borderId="52" xfId="0" applyFont="1" applyBorder="1" applyAlignment="1" applyProtection="1">
      <alignment horizontal="left" vertical="center"/>
      <protection hidden="1"/>
    </xf>
    <xf numFmtId="49" fontId="5" fillId="0" borderId="52" xfId="0" applyNumberFormat="1" applyFont="1" applyBorder="1" applyAlignment="1" applyProtection="1">
      <alignment horizontal="right" vertical="center"/>
      <protection hidden="1"/>
    </xf>
    <xf numFmtId="0" fontId="5" fillId="0" borderId="52" xfId="0" applyFont="1" applyBorder="1" applyAlignment="1" applyProtection="1">
      <alignment vertical="center"/>
      <protection hidden="1"/>
    </xf>
    <xf numFmtId="0" fontId="5" fillId="0" borderId="53" xfId="0" applyFont="1" applyBorder="1" applyAlignment="1" applyProtection="1">
      <alignment horizontal="left" vertical="center"/>
      <protection hidden="1"/>
    </xf>
    <xf numFmtId="0" fontId="5" fillId="0" borderId="54" xfId="0" applyFont="1" applyBorder="1" applyAlignment="1" applyProtection="1">
      <alignment horizontal="left" vertical="center"/>
      <protection hidden="1"/>
    </xf>
    <xf numFmtId="4" fontId="5" fillId="0" borderId="54" xfId="2" applyNumberFormat="1" applyFont="1" applyFill="1" applyBorder="1" applyAlignment="1" applyProtection="1">
      <alignment horizontal="right" vertical="center"/>
      <protection hidden="1"/>
    </xf>
    <xf numFmtId="4" fontId="5" fillId="4" borderId="54" xfId="2" applyNumberFormat="1" applyFont="1" applyFill="1" applyBorder="1" applyAlignment="1" applyProtection="1">
      <alignment horizontal="right" vertical="center"/>
      <protection locked="0" hidden="1"/>
    </xf>
    <xf numFmtId="0" fontId="17" fillId="0" borderId="0" xfId="0" applyFont="1" applyProtection="1">
      <protection hidden="1"/>
    </xf>
    <xf numFmtId="0" fontId="6" fillId="0" borderId="55" xfId="0" applyFont="1" applyBorder="1" applyAlignment="1" applyProtection="1">
      <alignment horizontal="left" vertical="center"/>
      <protection hidden="1"/>
    </xf>
    <xf numFmtId="0" fontId="6" fillId="0" borderId="56" xfId="0" applyFont="1" applyBorder="1" applyAlignment="1" applyProtection="1">
      <alignment horizontal="left" vertical="center"/>
      <protection hidden="1"/>
    </xf>
    <xf numFmtId="0" fontId="5" fillId="0" borderId="57" xfId="0" applyFont="1" applyBorder="1" applyAlignment="1" applyProtection="1">
      <alignment horizontal="left" vertical="center"/>
      <protection hidden="1"/>
    </xf>
    <xf numFmtId="0" fontId="5" fillId="0" borderId="58" xfId="0" applyFont="1" applyBorder="1" applyAlignment="1" applyProtection="1">
      <alignment horizontal="left" vertical="center"/>
      <protection hidden="1"/>
    </xf>
    <xf numFmtId="0" fontId="5" fillId="0" borderId="59" xfId="0" applyFont="1" applyBorder="1" applyAlignment="1" applyProtection="1">
      <alignment horizontal="left" vertical="center"/>
      <protection hidden="1"/>
    </xf>
    <xf numFmtId="0" fontId="5" fillId="0" borderId="55" xfId="0" applyFont="1" applyBorder="1" applyProtection="1">
      <protection hidden="1"/>
    </xf>
    <xf numFmtId="0" fontId="6" fillId="0" borderId="58" xfId="0" applyFont="1" applyBorder="1" applyAlignment="1" applyProtection="1">
      <alignment horizontal="left" vertical="center"/>
      <protection hidden="1"/>
    </xf>
    <xf numFmtId="4" fontId="0" fillId="0" borderId="0" xfId="0" applyNumberFormat="1"/>
    <xf numFmtId="0" fontId="36" fillId="0" borderId="0" xfId="0" applyFont="1" applyFill="1" applyBorder="1" applyAlignment="1" applyProtection="1">
      <alignment horizontal="center" vertical="center"/>
      <protection locked="0" hidden="1"/>
    </xf>
    <xf numFmtId="0" fontId="36" fillId="0" borderId="0" xfId="0" applyFont="1" applyBorder="1" applyAlignment="1" applyProtection="1">
      <alignment horizontal="center" vertical="center"/>
      <protection hidden="1"/>
    </xf>
    <xf numFmtId="49" fontId="36" fillId="0" borderId="0" xfId="0" applyNumberFormat="1" applyFont="1" applyBorder="1" applyAlignment="1" applyProtection="1">
      <alignment horizontal="center" vertical="center"/>
      <protection hidden="1"/>
    </xf>
    <xf numFmtId="0" fontId="36" fillId="0" borderId="0" xfId="0" applyFont="1" applyProtection="1">
      <protection hidden="1"/>
    </xf>
    <xf numFmtId="0" fontId="7" fillId="0" borderId="0" xfId="0" applyFont="1" applyAlignment="1" applyProtection="1">
      <alignment horizontal="left" vertical="center"/>
      <protection hidden="1"/>
    </xf>
    <xf numFmtId="164" fontId="7" fillId="0" borderId="0" xfId="3" applyNumberFormat="1" applyFont="1" applyAlignment="1" applyProtection="1">
      <alignment horizontal="left" vertical="center"/>
      <protection hidden="1"/>
    </xf>
    <xf numFmtId="0" fontId="37" fillId="0" borderId="0" xfId="0" applyFont="1"/>
    <xf numFmtId="0" fontId="6" fillId="0" borderId="60" xfId="0" applyFont="1" applyBorder="1" applyAlignment="1" applyProtection="1">
      <alignment horizontal="left" vertical="center"/>
      <protection hidden="1"/>
    </xf>
    <xf numFmtId="0" fontId="5" fillId="0" borderId="57" xfId="0" applyFont="1" applyBorder="1" applyProtection="1">
      <protection hidden="1"/>
    </xf>
    <xf numFmtId="10" fontId="5" fillId="0" borderId="0" xfId="0" applyNumberFormat="1" applyFont="1" applyProtection="1">
      <protection hidden="1"/>
    </xf>
    <xf numFmtId="2" fontId="5" fillId="0" borderId="0" xfId="0" applyNumberFormat="1" applyFont="1" applyProtection="1">
      <protection hidden="1"/>
    </xf>
    <xf numFmtId="0" fontId="5" fillId="0" borderId="60"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0" fontId="6" fillId="0" borderId="0" xfId="0" applyFont="1" applyFill="1" applyAlignment="1" applyProtection="1">
      <alignment vertical="center"/>
      <protection hidden="1"/>
    </xf>
    <xf numFmtId="0" fontId="6" fillId="8" borderId="61" xfId="0" applyFont="1" applyFill="1" applyBorder="1" applyAlignment="1" applyProtection="1">
      <alignment horizontal="left" vertical="center"/>
      <protection hidden="1"/>
    </xf>
    <xf numFmtId="0" fontId="6" fillId="8" borderId="62" xfId="0" applyFont="1" applyFill="1" applyBorder="1" applyAlignment="1" applyProtection="1">
      <alignment horizontal="left" vertical="center"/>
      <protection hidden="1"/>
    </xf>
    <xf numFmtId="0" fontId="6" fillId="8" borderId="63" xfId="0" applyFont="1" applyFill="1" applyBorder="1" applyAlignment="1" applyProtection="1">
      <alignment horizontal="center" vertical="center"/>
      <protection hidden="1"/>
    </xf>
    <xf numFmtId="0" fontId="5" fillId="0" borderId="64" xfId="0" applyFont="1" applyFill="1" applyBorder="1" applyAlignment="1" applyProtection="1">
      <alignment horizontal="left" vertical="center"/>
      <protection hidden="1"/>
    </xf>
    <xf numFmtId="0" fontId="5" fillId="0" borderId="65" xfId="0" applyFont="1" applyFill="1" applyBorder="1" applyAlignment="1" applyProtection="1">
      <alignment horizontal="left" vertical="center"/>
      <protection hidden="1"/>
    </xf>
    <xf numFmtId="0" fontId="5" fillId="0" borderId="66" xfId="0" applyFont="1" applyFill="1" applyBorder="1" applyAlignment="1" applyProtection="1">
      <alignment horizontal="left" vertical="center"/>
      <protection hidden="1"/>
    </xf>
    <xf numFmtId="0" fontId="5" fillId="0" borderId="67" xfId="0" applyFont="1" applyFill="1" applyBorder="1" applyAlignment="1" applyProtection="1">
      <alignment horizontal="left" vertical="center"/>
      <protection hidden="1"/>
    </xf>
    <xf numFmtId="0" fontId="6" fillId="0" borderId="68" xfId="0" applyFont="1" applyBorder="1" applyAlignment="1" applyProtection="1">
      <alignment horizontal="left" vertical="center"/>
      <protection hidden="1"/>
    </xf>
    <xf numFmtId="0" fontId="5" fillId="0" borderId="64" xfId="0" applyFont="1" applyBorder="1" applyAlignment="1" applyProtection="1">
      <alignment horizontal="left" vertical="center"/>
      <protection hidden="1"/>
    </xf>
    <xf numFmtId="0" fontId="5" fillId="0" borderId="69" xfId="0" applyFont="1" applyBorder="1" applyAlignment="1" applyProtection="1">
      <alignment horizontal="left" vertical="center"/>
      <protection hidden="1"/>
    </xf>
    <xf numFmtId="0" fontId="5" fillId="0" borderId="70" xfId="0" applyFont="1" applyBorder="1" applyAlignment="1" applyProtection="1">
      <alignment horizontal="left" vertical="center"/>
      <protection hidden="1"/>
    </xf>
    <xf numFmtId="0" fontId="5" fillId="0" borderId="64" xfId="0" applyFont="1" applyBorder="1" applyProtection="1">
      <protection hidden="1"/>
    </xf>
    <xf numFmtId="0" fontId="6" fillId="0" borderId="64" xfId="0" applyFont="1" applyBorder="1" applyAlignment="1" applyProtection="1">
      <alignment horizontal="left" vertical="center"/>
      <protection hidden="1"/>
    </xf>
    <xf numFmtId="0" fontId="8" fillId="0" borderId="64" xfId="0" applyFont="1" applyBorder="1" applyAlignment="1" applyProtection="1">
      <alignment horizontal="left" vertical="center"/>
      <protection hidden="1"/>
    </xf>
    <xf numFmtId="0" fontId="7" fillId="0" borderId="64" xfId="0" applyFont="1" applyBorder="1" applyProtection="1">
      <protection hidden="1"/>
    </xf>
    <xf numFmtId="0" fontId="7" fillId="0" borderId="0" xfId="0" applyFont="1" applyBorder="1" applyProtection="1">
      <protection hidden="1"/>
    </xf>
    <xf numFmtId="0" fontId="6" fillId="0" borderId="69" xfId="0" applyFont="1" applyBorder="1" applyAlignment="1" applyProtection="1">
      <alignment horizontal="left" vertical="center"/>
      <protection hidden="1"/>
    </xf>
    <xf numFmtId="0" fontId="5" fillId="0" borderId="67" xfId="0" applyFont="1" applyBorder="1" applyAlignment="1" applyProtection="1">
      <alignment horizontal="left" vertical="center"/>
      <protection hidden="1"/>
    </xf>
    <xf numFmtId="0" fontId="5" fillId="0" borderId="67" xfId="0" applyFont="1" applyBorder="1" applyProtection="1">
      <protection hidden="1"/>
    </xf>
    <xf numFmtId="0" fontId="5" fillId="0" borderId="71" xfId="0" applyFont="1" applyBorder="1" applyAlignment="1" applyProtection="1">
      <alignment horizontal="left" vertical="center"/>
      <protection hidden="1"/>
    </xf>
    <xf numFmtId="0" fontId="24" fillId="0" borderId="0" xfId="0" applyFont="1" applyAlignment="1" applyProtection="1">
      <alignment vertical="center"/>
      <protection hidden="1"/>
    </xf>
    <xf numFmtId="14" fontId="24" fillId="0" borderId="0" xfId="0" applyNumberFormat="1" applyFont="1" applyAlignment="1" applyProtection="1">
      <alignment vertical="center"/>
      <protection hidden="1"/>
    </xf>
    <xf numFmtId="0" fontId="24" fillId="0" borderId="0" xfId="0" applyFont="1" applyProtection="1">
      <protection hidden="1"/>
    </xf>
    <xf numFmtId="0" fontId="24" fillId="0" borderId="0" xfId="0" applyFont="1" applyAlignment="1" applyProtection="1">
      <alignment horizontal="left" vertical="center"/>
      <protection hidden="1"/>
    </xf>
    <xf numFmtId="2" fontId="24" fillId="0" borderId="0" xfId="3" applyNumberFormat="1" applyFont="1" applyAlignment="1" applyProtection="1">
      <alignment horizontal="left" vertical="center"/>
      <protection hidden="1"/>
    </xf>
    <xf numFmtId="4" fontId="24" fillId="0" borderId="0" xfId="0" applyNumberFormat="1" applyFont="1" applyAlignment="1" applyProtection="1">
      <alignment horizontal="left"/>
      <protection hidden="1"/>
    </xf>
    <xf numFmtId="0" fontId="38" fillId="8" borderId="4" xfId="0" applyFont="1" applyFill="1" applyBorder="1" applyAlignment="1" applyProtection="1">
      <alignment horizontal="left" vertical="center"/>
      <protection hidden="1"/>
    </xf>
    <xf numFmtId="0" fontId="39" fillId="8" borderId="72" xfId="0" applyFont="1" applyFill="1" applyBorder="1" applyAlignment="1" applyProtection="1">
      <alignment horizontal="left" vertical="center"/>
      <protection hidden="1"/>
    </xf>
    <xf numFmtId="0" fontId="40" fillId="8" borderId="4" xfId="0" applyFont="1" applyFill="1" applyBorder="1" applyAlignment="1" applyProtection="1">
      <alignment horizontal="left" vertical="center"/>
      <protection hidden="1"/>
    </xf>
    <xf numFmtId="0" fontId="6" fillId="8" borderId="72" xfId="0" applyFont="1" applyFill="1" applyBorder="1" applyAlignment="1" applyProtection="1">
      <alignment horizontal="left" vertical="center"/>
      <protection hidden="1"/>
    </xf>
    <xf numFmtId="0" fontId="6" fillId="8" borderId="4" xfId="0" applyFont="1" applyFill="1" applyBorder="1" applyAlignment="1" applyProtection="1">
      <alignment horizontal="left" vertical="center"/>
      <protection hidden="1"/>
    </xf>
    <xf numFmtId="0" fontId="5" fillId="8" borderId="4" xfId="0" applyFont="1" applyFill="1" applyBorder="1" applyAlignment="1" applyProtection="1">
      <alignment horizontal="left" vertical="center"/>
      <protection hidden="1"/>
    </xf>
    <xf numFmtId="0" fontId="14" fillId="8" borderId="73" xfId="0" applyFont="1" applyFill="1" applyBorder="1" applyAlignment="1" applyProtection="1">
      <alignment horizontal="left" vertical="center"/>
      <protection hidden="1"/>
    </xf>
    <xf numFmtId="0" fontId="14" fillId="8" borderId="74" xfId="0" applyFont="1" applyFill="1" applyBorder="1" applyAlignment="1" applyProtection="1">
      <alignment horizontal="left" vertical="center"/>
      <protection hidden="1"/>
    </xf>
    <xf numFmtId="0" fontId="4" fillId="9" borderId="26" xfId="0" applyFont="1" applyFill="1" applyBorder="1"/>
    <xf numFmtId="0" fontId="2" fillId="9" borderId="26" xfId="0" applyFont="1" applyFill="1" applyBorder="1"/>
    <xf numFmtId="0" fontId="2" fillId="9" borderId="26" xfId="0" applyFont="1" applyFill="1" applyBorder="1" applyAlignment="1" applyProtection="1">
      <alignment horizontal="center"/>
    </xf>
    <xf numFmtId="0" fontId="2" fillId="9" borderId="26" xfId="0" applyFont="1" applyFill="1" applyBorder="1" applyProtection="1"/>
    <xf numFmtId="0" fontId="2" fillId="9" borderId="26" xfId="0" applyFont="1" applyFill="1" applyBorder="1" applyAlignment="1">
      <alignment horizontal="center"/>
    </xf>
    <xf numFmtId="0" fontId="4" fillId="9" borderId="27" xfId="0" applyFont="1" applyFill="1" applyBorder="1"/>
    <xf numFmtId="0" fontId="2" fillId="9" borderId="27" xfId="0" applyFont="1" applyFill="1" applyBorder="1" applyProtection="1"/>
    <xf numFmtId="0" fontId="4" fillId="10" borderId="26" xfId="0" applyFont="1" applyFill="1" applyBorder="1"/>
    <xf numFmtId="0" fontId="2" fillId="10" borderId="26" xfId="0" applyFont="1" applyFill="1" applyBorder="1" applyProtection="1"/>
    <xf numFmtId="2" fontId="2" fillId="10" borderId="26" xfId="0" applyNumberFormat="1" applyFont="1" applyFill="1" applyBorder="1" applyAlignment="1">
      <alignment horizontal="center"/>
    </xf>
    <xf numFmtId="0" fontId="2" fillId="10" borderId="26" xfId="0" applyFont="1" applyFill="1" applyBorder="1" applyAlignment="1">
      <alignment horizontal="right"/>
    </xf>
    <xf numFmtId="0" fontId="4" fillId="10" borderId="27" xfId="0" applyFont="1" applyFill="1" applyBorder="1"/>
    <xf numFmtId="0" fontId="2" fillId="10" borderId="27" xfId="0" applyFont="1" applyFill="1" applyBorder="1" applyProtection="1"/>
    <xf numFmtId="0" fontId="2" fillId="9" borderId="28" xfId="0" applyFont="1" applyFill="1" applyBorder="1" applyProtection="1"/>
    <xf numFmtId="0" fontId="4" fillId="9" borderId="28" xfId="0" applyFont="1" applyFill="1" applyBorder="1"/>
    <xf numFmtId="0" fontId="3" fillId="9" borderId="26" xfId="0" applyFont="1" applyFill="1" applyBorder="1" applyProtection="1"/>
    <xf numFmtId="0" fontId="4" fillId="10" borderId="28" xfId="0" applyFont="1" applyFill="1" applyBorder="1"/>
    <xf numFmtId="0" fontId="3" fillId="10" borderId="26" xfId="0" applyFont="1" applyFill="1" applyBorder="1" applyAlignment="1">
      <alignment horizontal="center"/>
    </xf>
    <xf numFmtId="43" fontId="2" fillId="10" borderId="26" xfId="2" applyFont="1" applyFill="1" applyBorder="1" applyAlignment="1" applyProtection="1">
      <alignment horizontal="center"/>
    </xf>
    <xf numFmtId="10" fontId="2" fillId="10" borderId="26" xfId="0" applyNumberFormat="1" applyFont="1" applyFill="1" applyBorder="1" applyAlignment="1">
      <alignment horizontal="center"/>
    </xf>
    <xf numFmtId="10" fontId="2" fillId="10" borderId="26" xfId="4" applyNumberFormat="1" applyFont="1" applyFill="1" applyBorder="1" applyAlignment="1" applyProtection="1">
      <alignment horizontal="center"/>
    </xf>
    <xf numFmtId="10" fontId="2" fillId="10" borderId="26" xfId="4" applyNumberFormat="1" applyFont="1" applyFill="1" applyBorder="1" applyProtection="1"/>
    <xf numFmtId="43" fontId="2" fillId="10" borderId="26" xfId="2" applyFont="1" applyFill="1" applyBorder="1" applyProtection="1"/>
    <xf numFmtId="43" fontId="2" fillId="10" borderId="27" xfId="2" applyFont="1" applyFill="1" applyBorder="1" applyProtection="1"/>
    <xf numFmtId="43" fontId="2" fillId="9" borderId="28" xfId="2" applyFont="1" applyFill="1" applyBorder="1" applyProtection="1"/>
    <xf numFmtId="0" fontId="4" fillId="9" borderId="29" xfId="0" applyFont="1" applyFill="1" applyBorder="1"/>
    <xf numFmtId="0" fontId="3" fillId="9" borderId="26" xfId="0" applyFont="1" applyFill="1" applyBorder="1" applyAlignment="1">
      <alignment horizontal="center" vertical="center"/>
    </xf>
    <xf numFmtId="0" fontId="2" fillId="9" borderId="26" xfId="0" applyFont="1" applyFill="1" applyBorder="1" applyAlignment="1">
      <alignment horizontal="center" vertical="center"/>
    </xf>
    <xf numFmtId="0" fontId="2" fillId="9" borderId="26" xfId="0" applyFont="1" applyFill="1" applyBorder="1" applyAlignment="1">
      <alignment horizontal="center" vertical="center" wrapText="1"/>
    </xf>
    <xf numFmtId="0" fontId="4" fillId="9" borderId="0" xfId="0" applyFont="1" applyFill="1"/>
    <xf numFmtId="0" fontId="2" fillId="9" borderId="0" xfId="0" applyFont="1" applyFill="1" applyBorder="1" applyAlignment="1">
      <alignment horizontal="center" vertical="center" wrapText="1"/>
    </xf>
    <xf numFmtId="14" fontId="2" fillId="9" borderId="0" xfId="0" applyNumberFormat="1" applyFont="1" applyFill="1"/>
    <xf numFmtId="0" fontId="2" fillId="9" borderId="0" xfId="0" applyFont="1" applyFill="1" applyBorder="1" applyAlignment="1">
      <alignment horizontal="center"/>
    </xf>
    <xf numFmtId="0" fontId="4" fillId="11" borderId="26" xfId="0" applyFont="1" applyFill="1" applyBorder="1"/>
    <xf numFmtId="0" fontId="3" fillId="11" borderId="26" xfId="0" applyFont="1" applyFill="1" applyBorder="1"/>
    <xf numFmtId="0" fontId="2" fillId="11" borderId="26" xfId="0" applyFont="1" applyFill="1" applyBorder="1"/>
    <xf numFmtId="14" fontId="2" fillId="11" borderId="26" xfId="0" applyNumberFormat="1" applyFont="1" applyFill="1" applyBorder="1" applyAlignment="1" applyProtection="1">
      <alignment horizontal="left"/>
    </xf>
    <xf numFmtId="0" fontId="2" fillId="11" borderId="26" xfId="0" applyFont="1" applyFill="1" applyBorder="1" applyAlignment="1" applyProtection="1">
      <alignment horizontal="center"/>
    </xf>
    <xf numFmtId="0" fontId="2" fillId="11" borderId="26" xfId="0" applyFont="1" applyFill="1" applyBorder="1" applyAlignment="1" applyProtection="1">
      <alignment horizontal="left"/>
    </xf>
    <xf numFmtId="0" fontId="2" fillId="11" borderId="26" xfId="0" applyFont="1" applyFill="1" applyBorder="1" applyProtection="1"/>
    <xf numFmtId="10" fontId="2" fillId="11" borderId="26" xfId="0" applyNumberFormat="1" applyFont="1" applyFill="1" applyBorder="1" applyProtection="1"/>
    <xf numFmtId="0" fontId="2" fillId="11" borderId="26" xfId="0" applyFont="1" applyFill="1" applyBorder="1" applyAlignment="1">
      <alignment horizontal="left"/>
    </xf>
    <xf numFmtId="2" fontId="2" fillId="11" borderId="26" xfId="0" applyNumberFormat="1" applyFont="1" applyFill="1" applyBorder="1" applyAlignment="1">
      <alignment horizontal="center"/>
    </xf>
    <xf numFmtId="2" fontId="2" fillId="11" borderId="26" xfId="0" applyNumberFormat="1" applyFont="1" applyFill="1" applyBorder="1" applyAlignment="1" applyProtection="1">
      <alignment horizontal="center"/>
    </xf>
    <xf numFmtId="0" fontId="2" fillId="11" borderId="26" xfId="0" applyFont="1" applyFill="1" applyBorder="1" applyAlignment="1" applyProtection="1">
      <alignment horizontal="right"/>
    </xf>
    <xf numFmtId="0" fontId="2" fillId="11" borderId="26" xfId="0" applyFont="1" applyFill="1" applyBorder="1" applyAlignment="1">
      <alignment horizontal="center"/>
    </xf>
    <xf numFmtId="0" fontId="2" fillId="11" borderId="26" xfId="0" applyFont="1" applyFill="1" applyBorder="1" applyAlignment="1">
      <alignment horizontal="right"/>
    </xf>
    <xf numFmtId="3" fontId="2" fillId="11" borderId="26" xfId="0" applyNumberFormat="1" applyFont="1" applyFill="1" applyBorder="1" applyAlignment="1" applyProtection="1">
      <alignment horizontal="center"/>
    </xf>
    <xf numFmtId="3" fontId="2" fillId="11" borderId="26" xfId="0" applyNumberFormat="1" applyFont="1" applyFill="1" applyBorder="1" applyAlignment="1">
      <alignment horizontal="center"/>
    </xf>
    <xf numFmtId="3" fontId="2" fillId="11" borderId="27" xfId="0" applyNumberFormat="1" applyFont="1" applyFill="1" applyBorder="1" applyAlignment="1" applyProtection="1">
      <alignment horizontal="center"/>
    </xf>
    <xf numFmtId="3" fontId="2" fillId="11" borderId="27" xfId="0" applyNumberFormat="1" applyFont="1" applyFill="1" applyBorder="1" applyAlignment="1">
      <alignment horizontal="center"/>
    </xf>
    <xf numFmtId="2" fontId="2" fillId="11" borderId="27" xfId="0" applyNumberFormat="1" applyFont="1" applyFill="1" applyBorder="1" applyAlignment="1" applyProtection="1">
      <alignment horizontal="center"/>
    </xf>
    <xf numFmtId="0" fontId="38" fillId="12" borderId="75" xfId="0" applyFont="1" applyFill="1" applyBorder="1" applyAlignment="1" applyProtection="1">
      <alignment horizontal="center" vertical="center"/>
      <protection locked="0" hidden="1"/>
    </xf>
    <xf numFmtId="0" fontId="38" fillId="12" borderId="76" xfId="0" applyFont="1" applyFill="1" applyBorder="1" applyAlignment="1" applyProtection="1">
      <alignment horizontal="center" vertical="center"/>
      <protection locked="0" hidden="1"/>
    </xf>
    <xf numFmtId="3" fontId="38" fillId="12" borderId="76" xfId="0" applyNumberFormat="1" applyFont="1" applyFill="1" applyBorder="1" applyAlignment="1" applyProtection="1">
      <alignment horizontal="center" vertical="center"/>
      <protection locked="0" hidden="1"/>
    </xf>
    <xf numFmtId="14" fontId="29" fillId="11" borderId="30" xfId="0" applyNumberFormat="1" applyFont="1" applyFill="1" applyBorder="1"/>
    <xf numFmtId="0" fontId="4" fillId="11" borderId="30" xfId="0" applyFont="1" applyFill="1" applyBorder="1"/>
    <xf numFmtId="0" fontId="4" fillId="9" borderId="31" xfId="0" applyFont="1" applyFill="1" applyBorder="1"/>
    <xf numFmtId="0" fontId="4" fillId="9" borderId="30" xfId="0" applyFont="1" applyFill="1" applyBorder="1"/>
    <xf numFmtId="0" fontId="4" fillId="9" borderId="32" xfId="0" applyFont="1" applyFill="1" applyBorder="1"/>
    <xf numFmtId="0" fontId="4" fillId="10" borderId="31" xfId="0" applyFont="1" applyFill="1" applyBorder="1"/>
    <xf numFmtId="0" fontId="4" fillId="10" borderId="30" xfId="0" applyFont="1" applyFill="1" applyBorder="1"/>
    <xf numFmtId="0" fontId="4" fillId="10" borderId="32" xfId="0" applyFont="1" applyFill="1" applyBorder="1"/>
    <xf numFmtId="0" fontId="4" fillId="9" borderId="33" xfId="0" applyFont="1" applyFill="1" applyBorder="1"/>
    <xf numFmtId="0" fontId="4" fillId="9" borderId="34" xfId="0" applyFont="1" applyFill="1" applyBorder="1"/>
    <xf numFmtId="0" fontId="27" fillId="0" borderId="35" xfId="0" applyFont="1" applyBorder="1"/>
    <xf numFmtId="0" fontId="4" fillId="0" borderId="35" xfId="0" applyFont="1" applyBorder="1"/>
    <xf numFmtId="0" fontId="4" fillId="0" borderId="36" xfId="0" applyFont="1" applyBorder="1"/>
    <xf numFmtId="0" fontId="2" fillId="0" borderId="36" xfId="0" applyFont="1" applyBorder="1" applyAlignment="1">
      <alignment horizontal="center"/>
    </xf>
    <xf numFmtId="0" fontId="4" fillId="0" borderId="37" xfId="0" applyFont="1" applyBorder="1"/>
    <xf numFmtId="0" fontId="29" fillId="11" borderId="26" xfId="0" applyFont="1" applyFill="1" applyBorder="1"/>
    <xf numFmtId="14" fontId="30" fillId="0" borderId="0" xfId="0" applyNumberFormat="1" applyFont="1" applyAlignment="1" applyProtection="1">
      <alignment vertical="center"/>
      <protection hidden="1"/>
    </xf>
    <xf numFmtId="4" fontId="39" fillId="8" borderId="77" xfId="0" applyNumberFormat="1" applyFont="1" applyFill="1" applyBorder="1" applyAlignment="1" applyProtection="1">
      <alignment horizontal="center" vertical="center"/>
      <protection hidden="1"/>
    </xf>
    <xf numFmtId="0" fontId="4" fillId="9" borderId="26" xfId="0" applyFont="1" applyFill="1" applyBorder="1" applyAlignment="1">
      <alignment horizontal="center" wrapText="1"/>
    </xf>
    <xf numFmtId="0" fontId="5" fillId="0" borderId="64" xfId="0" applyFont="1" applyBorder="1" applyAlignment="1" applyProtection="1">
      <alignment horizontal="left" vertical="center"/>
      <protection hidden="1"/>
    </xf>
    <xf numFmtId="0" fontId="1" fillId="0" borderId="0" xfId="0" applyFont="1"/>
    <xf numFmtId="0" fontId="31" fillId="0" borderId="38" xfId="0" applyFont="1" applyBorder="1" applyAlignment="1" applyProtection="1">
      <alignment horizontal="left" indent="2"/>
      <protection hidden="1"/>
    </xf>
    <xf numFmtId="0" fontId="31" fillId="0" borderId="0" xfId="0" applyFont="1" applyBorder="1" applyAlignment="1" applyProtection="1">
      <alignment horizontal="left" indent="2"/>
      <protection hidden="1"/>
    </xf>
    <xf numFmtId="0" fontId="31" fillId="0" borderId="0" xfId="0" applyFont="1" applyBorder="1" applyProtection="1">
      <protection hidden="1"/>
    </xf>
    <xf numFmtId="164" fontId="31" fillId="0" borderId="39" xfId="2" applyNumberFormat="1" applyFont="1" applyBorder="1" applyProtection="1">
      <protection hidden="1"/>
    </xf>
    <xf numFmtId="10" fontId="31" fillId="0" borderId="38" xfId="2" applyNumberFormat="1" applyFont="1" applyBorder="1" applyAlignment="1" applyProtection="1">
      <alignment horizontal="right"/>
      <protection hidden="1"/>
    </xf>
    <xf numFmtId="43" fontId="31" fillId="0" borderId="39" xfId="2" applyFont="1" applyBorder="1" applyAlignment="1" applyProtection="1">
      <alignment horizontal="right"/>
      <protection hidden="1"/>
    </xf>
    <xf numFmtId="165" fontId="31" fillId="0" borderId="38" xfId="2" applyNumberFormat="1" applyFont="1" applyBorder="1" applyAlignment="1" applyProtection="1">
      <alignment horizontal="right"/>
      <protection hidden="1"/>
    </xf>
    <xf numFmtId="43" fontId="31" fillId="0" borderId="39" xfId="2" applyNumberFormat="1" applyFont="1" applyBorder="1" applyAlignment="1" applyProtection="1">
      <alignment horizontal="right"/>
      <protection hidden="1"/>
    </xf>
    <xf numFmtId="0" fontId="31" fillId="0" borderId="38" xfId="0" applyFont="1" applyBorder="1" applyProtection="1">
      <protection hidden="1"/>
    </xf>
    <xf numFmtId="0" fontId="14" fillId="0" borderId="38" xfId="0" applyFont="1" applyBorder="1" applyAlignment="1" applyProtection="1">
      <alignment horizontal="left" indent="2"/>
      <protection hidden="1"/>
    </xf>
    <xf numFmtId="0" fontId="14" fillId="0" borderId="0" xfId="0" applyFont="1" applyBorder="1" applyAlignment="1" applyProtection="1">
      <alignment horizontal="left" indent="2"/>
      <protection hidden="1"/>
    </xf>
    <xf numFmtId="43" fontId="14" fillId="0" borderId="39" xfId="2" applyNumberFormat="1" applyFont="1" applyBorder="1" applyAlignment="1" applyProtection="1">
      <alignment horizontal="right"/>
      <protection hidden="1"/>
    </xf>
    <xf numFmtId="164" fontId="31" fillId="0" borderId="39" xfId="2" applyNumberFormat="1" applyFont="1" applyBorder="1" applyAlignment="1" applyProtection="1">
      <alignment horizontal="center"/>
      <protection hidden="1"/>
    </xf>
    <xf numFmtId="0" fontId="14" fillId="0" borderId="40" xfId="0" applyFont="1" applyBorder="1" applyAlignment="1" applyProtection="1">
      <alignment horizontal="left" indent="2"/>
      <protection hidden="1"/>
    </xf>
    <xf numFmtId="0" fontId="14" fillId="0" borderId="9" xfId="0" applyFont="1" applyBorder="1" applyAlignment="1" applyProtection="1">
      <alignment horizontal="left" indent="2"/>
      <protection hidden="1"/>
    </xf>
    <xf numFmtId="0" fontId="31" fillId="0" borderId="9" xfId="0" applyFont="1" applyBorder="1" applyProtection="1">
      <protection hidden="1"/>
    </xf>
    <xf numFmtId="164" fontId="31" fillId="0" borderId="41" xfId="2" applyNumberFormat="1" applyFont="1" applyBorder="1" applyProtection="1">
      <protection hidden="1"/>
    </xf>
    <xf numFmtId="10" fontId="31" fillId="0" borderId="40" xfId="2" applyNumberFormat="1" applyFont="1" applyBorder="1" applyAlignment="1" applyProtection="1">
      <alignment horizontal="right"/>
      <protection hidden="1"/>
    </xf>
    <xf numFmtId="43" fontId="14" fillId="0" borderId="41" xfId="2" applyNumberFormat="1" applyFont="1" applyBorder="1" applyAlignment="1" applyProtection="1">
      <alignment horizontal="right"/>
      <protection hidden="1"/>
    </xf>
    <xf numFmtId="0" fontId="31" fillId="0" borderId="42" xfId="0" applyFont="1" applyBorder="1" applyAlignment="1" applyProtection="1">
      <alignment horizontal="left" indent="2"/>
      <protection hidden="1"/>
    </xf>
    <xf numFmtId="0" fontId="31" fillId="0" borderId="43" xfId="0" applyFont="1" applyBorder="1" applyAlignment="1" applyProtection="1">
      <alignment horizontal="left" indent="2"/>
      <protection hidden="1"/>
    </xf>
    <xf numFmtId="0" fontId="31" fillId="0" borderId="43" xfId="0" applyFont="1" applyBorder="1" applyProtection="1">
      <protection hidden="1"/>
    </xf>
    <xf numFmtId="164" fontId="31" fillId="0" borderId="44" xfId="2" applyNumberFormat="1" applyFont="1" applyBorder="1" applyProtection="1">
      <protection hidden="1"/>
    </xf>
    <xf numFmtId="10" fontId="31" fillId="0" borderId="42" xfId="2" applyNumberFormat="1" applyFont="1" applyBorder="1" applyAlignment="1" applyProtection="1">
      <alignment horizontal="right"/>
      <protection hidden="1"/>
    </xf>
    <xf numFmtId="43" fontId="31" fillId="0" borderId="44" xfId="2" applyFont="1" applyBorder="1" applyAlignment="1" applyProtection="1">
      <alignment horizontal="right"/>
      <protection hidden="1"/>
    </xf>
    <xf numFmtId="43" fontId="31" fillId="0" borderId="44" xfId="2" applyNumberFormat="1" applyFont="1" applyBorder="1" applyAlignment="1" applyProtection="1">
      <alignment horizontal="right"/>
      <protection hidden="1"/>
    </xf>
    <xf numFmtId="43" fontId="31" fillId="0" borderId="39" xfId="2" applyNumberFormat="1" applyFont="1" applyBorder="1" applyAlignment="1" applyProtection="1">
      <alignment horizontal="center"/>
      <protection hidden="1"/>
    </xf>
    <xf numFmtId="43" fontId="31" fillId="0" borderId="44" xfId="2" applyNumberFormat="1" applyFont="1" applyBorder="1" applyAlignment="1" applyProtection="1">
      <alignment horizontal="center"/>
      <protection hidden="1"/>
    </xf>
    <xf numFmtId="43" fontId="14" fillId="0" borderId="41" xfId="2" applyNumberFormat="1" applyFont="1" applyBorder="1" applyAlignment="1" applyProtection="1">
      <alignment horizontal="center"/>
      <protection hidden="1"/>
    </xf>
    <xf numFmtId="43" fontId="5" fillId="0" borderId="0" xfId="0" applyNumberFormat="1" applyFont="1" applyProtection="1">
      <protection hidden="1"/>
    </xf>
    <xf numFmtId="0" fontId="1" fillId="0" borderId="0" xfId="0" applyFont="1" applyAlignment="1"/>
    <xf numFmtId="0" fontId="0" fillId="0" borderId="0" xfId="0" applyAlignment="1"/>
    <xf numFmtId="0" fontId="32" fillId="0" borderId="0" xfId="0" applyFont="1" applyAlignment="1"/>
    <xf numFmtId="4" fontId="5" fillId="0" borderId="78" xfId="2" applyNumberFormat="1" applyFont="1" applyFill="1" applyBorder="1" applyAlignment="1" applyProtection="1">
      <alignment horizontal="right" vertical="center"/>
      <protection hidden="1"/>
    </xf>
    <xf numFmtId="10" fontId="38" fillId="12" borderId="79" xfId="2" applyNumberFormat="1" applyFont="1" applyFill="1" applyBorder="1" applyAlignment="1" applyProtection="1">
      <alignment horizontal="right" vertical="center"/>
      <protection locked="0" hidden="1"/>
    </xf>
    <xf numFmtId="4" fontId="38" fillId="0" borderId="80" xfId="2" applyNumberFormat="1" applyFont="1" applyFill="1" applyBorder="1" applyAlignment="1" applyProtection="1">
      <alignment horizontal="right" vertical="center"/>
      <protection hidden="1"/>
    </xf>
    <xf numFmtId="0" fontId="5" fillId="0" borderId="81" xfId="0" applyFont="1" applyFill="1" applyBorder="1" applyAlignment="1" applyProtection="1">
      <alignment horizontal="center" vertical="center" wrapText="1"/>
      <protection hidden="1"/>
    </xf>
    <xf numFmtId="4" fontId="38" fillId="12" borderId="82" xfId="2" applyNumberFormat="1" applyFont="1" applyFill="1" applyBorder="1" applyAlignment="1" applyProtection="1">
      <alignment horizontal="right" vertical="center"/>
      <protection locked="0" hidden="1"/>
    </xf>
    <xf numFmtId="4" fontId="38" fillId="12" borderId="79" xfId="2" applyNumberFormat="1" applyFont="1" applyFill="1" applyBorder="1" applyAlignment="1" applyProtection="1">
      <alignment horizontal="right" vertical="center"/>
      <protection locked="0" hidden="1"/>
    </xf>
    <xf numFmtId="4" fontId="38" fillId="12" borderId="83" xfId="2" applyNumberFormat="1" applyFont="1" applyFill="1" applyBorder="1" applyAlignment="1" applyProtection="1">
      <alignment horizontal="right" vertical="center"/>
      <protection locked="0" hidden="1"/>
    </xf>
    <xf numFmtId="0" fontId="5" fillId="0" borderId="79" xfId="0" applyFont="1" applyBorder="1" applyProtection="1">
      <protection hidden="1"/>
    </xf>
    <xf numFmtId="4" fontId="6" fillId="0" borderId="79" xfId="0" applyNumberFormat="1" applyFont="1" applyBorder="1" applyAlignment="1" applyProtection="1">
      <alignment vertical="center"/>
      <protection hidden="1"/>
    </xf>
    <xf numFmtId="4" fontId="6" fillId="0" borderId="84" xfId="0" applyNumberFormat="1" applyFont="1" applyBorder="1" applyAlignment="1" applyProtection="1">
      <alignment vertical="center"/>
      <protection hidden="1"/>
    </xf>
    <xf numFmtId="4" fontId="5" fillId="0" borderId="83" xfId="0" applyNumberFormat="1" applyFont="1" applyBorder="1" applyAlignment="1" applyProtection="1">
      <alignment horizontal="center" vertical="center"/>
      <protection hidden="1"/>
    </xf>
    <xf numFmtId="4" fontId="6" fillId="0" borderId="79" xfId="2" applyNumberFormat="1" applyFont="1" applyBorder="1" applyAlignment="1" applyProtection="1">
      <alignment horizontal="right" vertical="center"/>
      <protection hidden="1"/>
    </xf>
    <xf numFmtId="2" fontId="9" fillId="0" borderId="79" xfId="0" applyNumberFormat="1" applyFont="1" applyBorder="1" applyAlignment="1" applyProtection="1">
      <alignment vertical="center"/>
      <protection hidden="1"/>
    </xf>
    <xf numFmtId="0" fontId="5" fillId="0" borderId="85" xfId="0" applyFont="1" applyBorder="1" applyProtection="1">
      <protection hidden="1"/>
    </xf>
    <xf numFmtId="0" fontId="5" fillId="0" borderId="78" xfId="0" applyFont="1" applyBorder="1" applyProtection="1">
      <protection hidden="1"/>
    </xf>
    <xf numFmtId="4" fontId="6" fillId="0" borderId="86" xfId="2" applyNumberFormat="1" applyFont="1" applyBorder="1" applyAlignment="1" applyProtection="1">
      <alignment horizontal="right" vertical="center"/>
      <protection hidden="1"/>
    </xf>
    <xf numFmtId="4" fontId="6" fillId="8" borderId="77" xfId="2" applyNumberFormat="1" applyFont="1" applyFill="1" applyBorder="1" applyAlignment="1" applyProtection="1">
      <alignment horizontal="center" vertical="center"/>
      <protection hidden="1"/>
    </xf>
    <xf numFmtId="2" fontId="6" fillId="8" borderId="77" xfId="0" applyNumberFormat="1" applyFont="1" applyFill="1" applyBorder="1" applyAlignment="1" applyProtection="1">
      <alignment horizontal="center" vertical="center"/>
      <protection hidden="1"/>
    </xf>
    <xf numFmtId="4" fontId="7" fillId="0" borderId="87" xfId="2" applyNumberFormat="1" applyFont="1" applyBorder="1" applyAlignment="1" applyProtection="1">
      <alignment horizontal="right" vertical="center"/>
      <protection hidden="1"/>
    </xf>
    <xf numFmtId="4" fontId="6" fillId="0" borderId="88" xfId="2" applyNumberFormat="1" applyFont="1" applyBorder="1" applyAlignment="1" applyProtection="1">
      <alignment horizontal="right" vertical="center"/>
      <protection hidden="1"/>
    </xf>
    <xf numFmtId="4" fontId="14" fillId="8" borderId="89" xfId="2" applyNumberFormat="1" applyFont="1" applyFill="1" applyBorder="1" applyAlignment="1" applyProtection="1">
      <alignment horizontal="center" vertical="center"/>
      <protection hidden="1"/>
    </xf>
    <xf numFmtId="0" fontId="5" fillId="0" borderId="90" xfId="0" applyFont="1" applyFill="1" applyBorder="1" applyAlignment="1" applyProtection="1">
      <alignment horizontal="center" vertical="center" wrapText="1"/>
      <protection hidden="1"/>
    </xf>
    <xf numFmtId="4" fontId="38" fillId="12" borderId="91" xfId="2" applyNumberFormat="1" applyFont="1" applyFill="1" applyBorder="1" applyAlignment="1" applyProtection="1">
      <alignment horizontal="right" vertical="center"/>
      <protection locked="0" hidden="1"/>
    </xf>
    <xf numFmtId="4" fontId="38" fillId="0" borderId="92" xfId="2" applyNumberFormat="1" applyFont="1" applyFill="1" applyBorder="1" applyAlignment="1" applyProtection="1">
      <alignment horizontal="right" vertical="center"/>
      <protection hidden="1"/>
    </xf>
    <xf numFmtId="4" fontId="38" fillId="12" borderId="92" xfId="2" applyNumberFormat="1" applyFont="1" applyFill="1" applyBorder="1" applyAlignment="1" applyProtection="1">
      <alignment horizontal="right" vertical="center"/>
      <protection locked="0" hidden="1"/>
    </xf>
    <xf numFmtId="4" fontId="39" fillId="8" borderId="93" xfId="2" applyNumberFormat="1" applyFont="1" applyFill="1" applyBorder="1" applyAlignment="1" applyProtection="1">
      <alignment horizontal="center" vertical="center"/>
      <protection hidden="1"/>
    </xf>
    <xf numFmtId="4" fontId="5" fillId="0" borderId="94" xfId="2" applyNumberFormat="1" applyFont="1" applyFill="1" applyBorder="1" applyAlignment="1" applyProtection="1">
      <alignment horizontal="right" vertical="center"/>
      <protection hidden="1"/>
    </xf>
    <xf numFmtId="0" fontId="5" fillId="0" borderId="94" xfId="0" applyFont="1" applyBorder="1" applyProtection="1">
      <protection hidden="1"/>
    </xf>
    <xf numFmtId="4" fontId="6" fillId="0" borderId="94" xfId="2" applyNumberFormat="1" applyFont="1" applyBorder="1" applyAlignment="1" applyProtection="1">
      <alignment horizontal="right" vertical="center"/>
      <protection hidden="1"/>
    </xf>
    <xf numFmtId="4" fontId="5" fillId="0" borderId="95" xfId="2" applyNumberFormat="1" applyFont="1" applyFill="1" applyBorder="1" applyAlignment="1" applyProtection="1">
      <alignment horizontal="right" vertical="center"/>
      <protection hidden="1"/>
    </xf>
    <xf numFmtId="4" fontId="40" fillId="8" borderId="96" xfId="2" applyNumberFormat="1" applyFont="1" applyFill="1" applyBorder="1" applyAlignment="1" applyProtection="1">
      <alignment horizontal="center" vertical="center"/>
      <protection hidden="1"/>
    </xf>
    <xf numFmtId="4" fontId="5" fillId="0" borderId="94" xfId="2" applyNumberFormat="1" applyFont="1" applyBorder="1" applyAlignment="1" applyProtection="1">
      <alignment horizontal="center" vertical="center"/>
      <protection hidden="1"/>
    </xf>
    <xf numFmtId="4" fontId="9" fillId="0" borderId="91" xfId="2" applyNumberFormat="1" applyFont="1" applyBorder="1" applyAlignment="1" applyProtection="1">
      <alignment horizontal="right" vertical="center"/>
      <protection hidden="1"/>
    </xf>
    <xf numFmtId="0" fontId="5" fillId="0" borderId="92" xfId="0" applyFont="1" applyBorder="1" applyProtection="1">
      <protection hidden="1"/>
    </xf>
    <xf numFmtId="0" fontId="5" fillId="0" borderId="97" xfId="0" applyFont="1" applyBorder="1" applyProtection="1">
      <protection hidden="1"/>
    </xf>
    <xf numFmtId="2" fontId="9" fillId="0" borderId="92" xfId="0" applyNumberFormat="1" applyFont="1" applyBorder="1" applyAlignment="1" applyProtection="1">
      <alignment vertical="center"/>
      <protection hidden="1"/>
    </xf>
    <xf numFmtId="4" fontId="6" fillId="0" borderId="80" xfId="2" applyNumberFormat="1" applyFont="1" applyBorder="1" applyAlignment="1" applyProtection="1">
      <alignment horizontal="right" vertical="center"/>
      <protection hidden="1"/>
    </xf>
    <xf numFmtId="4" fontId="6" fillId="8" borderId="93" xfId="2" applyNumberFormat="1" applyFont="1" applyFill="1" applyBorder="1" applyAlignment="1" applyProtection="1">
      <alignment horizontal="center" vertical="center"/>
      <protection hidden="1"/>
    </xf>
    <xf numFmtId="4" fontId="38" fillId="12" borderId="98" xfId="2" applyNumberFormat="1" applyFont="1" applyFill="1" applyBorder="1" applyAlignment="1" applyProtection="1">
      <alignment horizontal="right" vertical="center"/>
      <protection locked="0" hidden="1"/>
    </xf>
    <xf numFmtId="4" fontId="7" fillId="0" borderId="91" xfId="2" applyNumberFormat="1" applyFont="1" applyBorder="1" applyAlignment="1" applyProtection="1">
      <alignment horizontal="right" vertical="center"/>
      <protection hidden="1"/>
    </xf>
    <xf numFmtId="4" fontId="14" fillId="8" borderId="99" xfId="2" applyNumberFormat="1" applyFont="1" applyFill="1" applyBorder="1" applyAlignment="1" applyProtection="1">
      <alignment horizontal="center" vertical="center"/>
      <protection hidden="1"/>
    </xf>
    <xf numFmtId="0" fontId="5" fillId="0" borderId="100" xfId="0" applyFont="1" applyBorder="1" applyAlignment="1" applyProtection="1">
      <alignment vertical="center"/>
      <protection hidden="1"/>
    </xf>
    <xf numFmtId="0" fontId="5" fillId="0" borderId="100" xfId="0" applyFont="1" applyBorder="1" applyProtection="1">
      <protection hidden="1"/>
    </xf>
    <xf numFmtId="4" fontId="5" fillId="0" borderId="100" xfId="0" applyNumberFormat="1" applyFont="1" applyBorder="1" applyAlignment="1" applyProtection="1">
      <alignment vertical="center"/>
      <protection hidden="1"/>
    </xf>
    <xf numFmtId="0" fontId="5" fillId="0" borderId="101" xfId="0" applyFont="1" applyBorder="1" applyProtection="1">
      <protection hidden="1"/>
    </xf>
    <xf numFmtId="2" fontId="6" fillId="0" borderId="102" xfId="0" applyNumberFormat="1" applyFont="1" applyBorder="1" applyAlignment="1" applyProtection="1">
      <alignment horizontal="right" vertical="center"/>
      <protection hidden="1"/>
    </xf>
    <xf numFmtId="2" fontId="6" fillId="8" borderId="103" xfId="0" applyNumberFormat="1" applyFont="1" applyFill="1" applyBorder="1" applyAlignment="1" applyProtection="1">
      <alignment horizontal="center" vertical="center"/>
      <protection hidden="1"/>
    </xf>
    <xf numFmtId="4" fontId="7" fillId="0" borderId="104" xfId="2" applyNumberFormat="1" applyFont="1" applyBorder="1" applyAlignment="1" applyProtection="1">
      <alignment horizontal="right" vertical="center"/>
      <protection hidden="1"/>
    </xf>
    <xf numFmtId="4" fontId="6" fillId="0" borderId="102" xfId="2" applyNumberFormat="1" applyFont="1" applyBorder="1" applyAlignment="1" applyProtection="1">
      <alignment horizontal="right" vertical="center"/>
      <protection hidden="1"/>
    </xf>
    <xf numFmtId="4" fontId="14" fillId="8" borderId="105" xfId="2" applyNumberFormat="1" applyFont="1" applyFill="1" applyBorder="1" applyAlignment="1" applyProtection="1">
      <alignment horizontal="center" vertical="center"/>
      <protection hidden="1"/>
    </xf>
    <xf numFmtId="43" fontId="5" fillId="0" borderId="106" xfId="0" applyNumberFormat="1" applyFont="1" applyFill="1" applyBorder="1" applyAlignment="1" applyProtection="1">
      <alignment horizontal="right" vertical="center"/>
      <protection locked="0" hidden="1"/>
    </xf>
    <xf numFmtId="0" fontId="38" fillId="12" borderId="107" xfId="0" applyFont="1" applyFill="1" applyBorder="1" applyAlignment="1" applyProtection="1">
      <alignment vertical="center"/>
      <protection hidden="1"/>
    </xf>
    <xf numFmtId="0" fontId="5" fillId="0" borderId="94" xfId="0" applyFont="1" applyBorder="1" applyAlignment="1" applyProtection="1">
      <alignment vertical="center"/>
      <protection hidden="1"/>
    </xf>
    <xf numFmtId="4" fontId="39" fillId="8" borderId="93" xfId="0" applyNumberFormat="1" applyFont="1" applyFill="1" applyBorder="1" applyAlignment="1" applyProtection="1">
      <alignment horizontal="center" vertical="center"/>
      <protection hidden="1"/>
    </xf>
    <xf numFmtId="4" fontId="38" fillId="12" borderId="108" xfId="2" applyNumberFormat="1" applyFont="1" applyFill="1" applyBorder="1" applyAlignment="1" applyProtection="1">
      <alignment horizontal="right" vertical="center"/>
      <protection locked="0" hidden="1"/>
    </xf>
    <xf numFmtId="4" fontId="6" fillId="0" borderId="92" xfId="0" applyNumberFormat="1" applyFont="1" applyBorder="1" applyAlignment="1" applyProtection="1">
      <alignment vertical="center"/>
      <protection hidden="1"/>
    </xf>
    <xf numFmtId="4" fontId="6" fillId="0" borderId="107" xfId="0" applyNumberFormat="1" applyFont="1" applyBorder="1" applyAlignment="1" applyProtection="1">
      <alignment vertical="center"/>
      <protection hidden="1"/>
    </xf>
    <xf numFmtId="4" fontId="5" fillId="0" borderId="108" xfId="0" applyNumberFormat="1" applyFont="1" applyBorder="1" applyAlignment="1" applyProtection="1">
      <alignment horizontal="center" vertical="center"/>
      <protection hidden="1"/>
    </xf>
    <xf numFmtId="0" fontId="5" fillId="0" borderId="92" xfId="0" applyFont="1" applyBorder="1" applyAlignment="1" applyProtection="1">
      <alignment vertical="center"/>
      <protection hidden="1"/>
    </xf>
    <xf numFmtId="0" fontId="5" fillId="0" borderId="109" xfId="0" applyFont="1" applyBorder="1" applyProtection="1">
      <protection hidden="1"/>
    </xf>
    <xf numFmtId="0" fontId="5" fillId="0" borderId="95" xfId="0" applyFont="1" applyBorder="1" applyAlignment="1" applyProtection="1">
      <alignment vertical="center"/>
      <protection hidden="1"/>
    </xf>
    <xf numFmtId="2" fontId="6" fillId="8" borderId="93" xfId="0" applyNumberFormat="1" applyFont="1" applyFill="1" applyBorder="1" applyAlignment="1" applyProtection="1">
      <alignment horizontal="center" vertical="center"/>
      <protection hidden="1"/>
    </xf>
    <xf numFmtId="4" fontId="38" fillId="12" borderId="87" xfId="2" applyNumberFormat="1" applyFont="1" applyFill="1" applyBorder="1" applyAlignment="1" applyProtection="1">
      <alignment horizontal="right" vertical="center"/>
      <protection locked="0" hidden="1"/>
    </xf>
    <xf numFmtId="4" fontId="38" fillId="0" borderId="79" xfId="2" applyNumberFormat="1" applyFont="1" applyFill="1" applyBorder="1" applyAlignment="1" applyProtection="1">
      <alignment horizontal="right" vertical="center"/>
      <protection hidden="1"/>
    </xf>
    <xf numFmtId="4" fontId="38" fillId="12" borderId="88" xfId="2" applyNumberFormat="1" applyFont="1" applyFill="1" applyBorder="1" applyAlignment="1" applyProtection="1">
      <alignment horizontal="right" vertical="center"/>
      <protection locked="0" hidden="1"/>
    </xf>
    <xf numFmtId="4" fontId="39" fillId="8" borderId="77" xfId="2" applyNumberFormat="1" applyFont="1" applyFill="1" applyBorder="1" applyAlignment="1" applyProtection="1">
      <alignment horizontal="center" vertical="center"/>
      <protection hidden="1"/>
    </xf>
    <xf numFmtId="4" fontId="5" fillId="0" borderId="83" xfId="2" applyNumberFormat="1" applyFont="1" applyFill="1" applyBorder="1" applyAlignment="1" applyProtection="1">
      <alignment horizontal="right" vertical="center"/>
      <protection hidden="1"/>
    </xf>
    <xf numFmtId="4" fontId="39" fillId="8" borderId="4" xfId="2" applyNumberFormat="1" applyFont="1" applyFill="1" applyBorder="1" applyAlignment="1" applyProtection="1">
      <alignment horizontal="center" vertical="center"/>
      <protection hidden="1"/>
    </xf>
    <xf numFmtId="4" fontId="5" fillId="0" borderId="83" xfId="2" applyNumberFormat="1" applyFont="1" applyBorder="1" applyAlignment="1" applyProtection="1">
      <alignment horizontal="center" vertical="center"/>
      <protection hidden="1"/>
    </xf>
    <xf numFmtId="4" fontId="9" fillId="0" borderId="79" xfId="2" applyNumberFormat="1" applyFont="1" applyBorder="1" applyAlignment="1" applyProtection="1">
      <alignment horizontal="right" vertical="center"/>
      <protection hidden="1"/>
    </xf>
    <xf numFmtId="2" fontId="9" fillId="0" borderId="85" xfId="0" applyNumberFormat="1" applyFont="1" applyBorder="1" applyProtection="1">
      <protection hidden="1"/>
    </xf>
    <xf numFmtId="4" fontId="38" fillId="12" borderId="110" xfId="2" applyNumberFormat="1" applyFont="1" applyFill="1" applyBorder="1" applyAlignment="1" applyProtection="1">
      <alignment horizontal="right" vertical="center"/>
      <protection locked="0" hidden="1"/>
    </xf>
    <xf numFmtId="0" fontId="5" fillId="0" borderId="111" xfId="0" applyFont="1" applyFill="1" applyBorder="1" applyAlignment="1" applyProtection="1">
      <alignment horizontal="left" vertical="center"/>
      <protection hidden="1"/>
    </xf>
    <xf numFmtId="0" fontId="5" fillId="0" borderId="97" xfId="0" applyFont="1" applyFill="1" applyBorder="1" applyAlignment="1" applyProtection="1">
      <alignment horizontal="left" vertical="center"/>
      <protection hidden="1"/>
    </xf>
    <xf numFmtId="0" fontId="5" fillId="0" borderId="112" xfId="0" applyFont="1" applyBorder="1" applyAlignment="1" applyProtection="1">
      <alignment horizontal="left" vertical="center"/>
      <protection hidden="1"/>
    </xf>
    <xf numFmtId="0" fontId="5" fillId="0" borderId="113" xfId="0" applyFont="1" applyBorder="1" applyAlignment="1" applyProtection="1">
      <alignment horizontal="left" vertical="center"/>
      <protection hidden="1"/>
    </xf>
    <xf numFmtId="0" fontId="5" fillId="0" borderId="114" xfId="0" applyFont="1" applyBorder="1" applyAlignment="1" applyProtection="1">
      <alignment horizontal="left" vertical="center"/>
      <protection hidden="1"/>
    </xf>
    <xf numFmtId="0" fontId="38" fillId="8" borderId="115" xfId="0" applyFont="1" applyFill="1" applyBorder="1" applyAlignment="1" applyProtection="1">
      <alignment horizontal="left" vertical="center"/>
      <protection hidden="1"/>
    </xf>
    <xf numFmtId="0" fontId="5" fillId="0" borderId="116" xfId="0" applyFont="1" applyBorder="1" applyAlignment="1" applyProtection="1">
      <alignment horizontal="left" vertical="center"/>
      <protection hidden="1"/>
    </xf>
    <xf numFmtId="0" fontId="5" fillId="0" borderId="113" xfId="0" applyFont="1" applyBorder="1" applyProtection="1">
      <protection hidden="1"/>
    </xf>
    <xf numFmtId="0" fontId="6" fillId="0" borderId="113" xfId="0" applyFont="1" applyBorder="1" applyAlignment="1" applyProtection="1">
      <alignment horizontal="left" vertical="center"/>
      <protection hidden="1"/>
    </xf>
    <xf numFmtId="0" fontId="40" fillId="8" borderId="115" xfId="0" applyFont="1" applyFill="1" applyBorder="1" applyAlignment="1" applyProtection="1">
      <alignment horizontal="left" vertical="center"/>
      <protection hidden="1"/>
    </xf>
    <xf numFmtId="4" fontId="7" fillId="0" borderId="97" xfId="0" applyNumberFormat="1" applyFont="1" applyBorder="1" applyAlignment="1" applyProtection="1">
      <alignment horizontal="center"/>
      <protection hidden="1"/>
    </xf>
    <xf numFmtId="2" fontId="5" fillId="0" borderId="114" xfId="0" applyNumberFormat="1" applyFont="1" applyBorder="1" applyAlignment="1" applyProtection="1">
      <alignment horizontal="left" vertical="center"/>
      <protection hidden="1"/>
    </xf>
    <xf numFmtId="0" fontId="6" fillId="8" borderId="115" xfId="0" applyFont="1" applyFill="1" applyBorder="1" applyAlignment="1" applyProtection="1">
      <alignment horizontal="left" vertical="center"/>
      <protection hidden="1"/>
    </xf>
    <xf numFmtId="0" fontId="5" fillId="0" borderId="97" xfId="0" applyFont="1" applyBorder="1" applyAlignment="1" applyProtection="1">
      <alignment horizontal="left" vertical="center"/>
      <protection hidden="1"/>
    </xf>
    <xf numFmtId="0" fontId="5" fillId="8" borderId="115" xfId="0" applyFont="1" applyFill="1" applyBorder="1" applyAlignment="1" applyProtection="1">
      <alignment horizontal="left" vertical="center"/>
      <protection hidden="1"/>
    </xf>
    <xf numFmtId="0" fontId="6" fillId="0" borderId="114" xfId="0" applyFont="1" applyBorder="1" applyAlignment="1" applyProtection="1">
      <alignment horizontal="left" vertical="center"/>
      <protection hidden="1"/>
    </xf>
    <xf numFmtId="0" fontId="14" fillId="8" borderId="117" xfId="0" applyFont="1" applyFill="1" applyBorder="1" applyAlignment="1" applyProtection="1">
      <alignment horizontal="left" vertical="center"/>
      <protection hidden="1"/>
    </xf>
    <xf numFmtId="0" fontId="5" fillId="0" borderId="0" xfId="0" applyFont="1" applyFill="1" applyBorder="1" applyProtection="1">
      <protection hidden="1"/>
    </xf>
    <xf numFmtId="4" fontId="38" fillId="0" borderId="118" xfId="2" applyNumberFormat="1" applyFont="1" applyFill="1" applyBorder="1" applyAlignment="1" applyProtection="1">
      <alignment horizontal="right" vertical="center"/>
      <protection locked="0" hidden="1"/>
    </xf>
    <xf numFmtId="4" fontId="38" fillId="0" borderId="119" xfId="2" applyNumberFormat="1" applyFont="1" applyFill="1" applyBorder="1" applyAlignment="1" applyProtection="1">
      <alignment horizontal="right" vertical="center"/>
      <protection hidden="1"/>
    </xf>
    <xf numFmtId="4" fontId="38" fillId="0" borderId="119" xfId="2" applyNumberFormat="1" applyFont="1" applyFill="1" applyBorder="1" applyAlignment="1" applyProtection="1">
      <alignment horizontal="right" vertical="center"/>
      <protection locked="0" hidden="1"/>
    </xf>
    <xf numFmtId="4" fontId="38" fillId="0" borderId="120" xfId="2" applyNumberFormat="1" applyFont="1" applyFill="1" applyBorder="1" applyAlignment="1" applyProtection="1">
      <alignment horizontal="right" vertical="center"/>
      <protection hidden="1"/>
    </xf>
    <xf numFmtId="4" fontId="5" fillId="0" borderId="121" xfId="2" applyNumberFormat="1" applyFont="1" applyFill="1" applyBorder="1" applyAlignment="1" applyProtection="1">
      <alignment horizontal="right" vertical="center"/>
      <protection hidden="1"/>
    </xf>
    <xf numFmtId="0" fontId="5" fillId="0" borderId="121" xfId="0" applyFont="1" applyFill="1" applyBorder="1" applyProtection="1">
      <protection hidden="1"/>
    </xf>
    <xf numFmtId="4" fontId="6" fillId="0" borderId="121" xfId="2" applyNumberFormat="1" applyFont="1" applyFill="1" applyBorder="1" applyAlignment="1" applyProtection="1">
      <alignment horizontal="right" vertical="center"/>
      <protection hidden="1"/>
    </xf>
    <xf numFmtId="4" fontId="5" fillId="0" borderId="121" xfId="2" applyNumberFormat="1" applyFont="1" applyFill="1" applyBorder="1" applyAlignment="1" applyProtection="1">
      <alignment horizontal="center" vertical="center"/>
      <protection hidden="1"/>
    </xf>
    <xf numFmtId="4" fontId="9" fillId="0" borderId="118" xfId="2" applyNumberFormat="1" applyFont="1" applyFill="1" applyBorder="1" applyAlignment="1" applyProtection="1">
      <alignment horizontal="right" vertical="center"/>
      <protection hidden="1"/>
    </xf>
    <xf numFmtId="0" fontId="5" fillId="0" borderId="119" xfId="0" applyFont="1" applyFill="1" applyBorder="1" applyProtection="1">
      <protection hidden="1"/>
    </xf>
    <xf numFmtId="2" fontId="9" fillId="0" borderId="119" xfId="0" applyNumberFormat="1" applyFont="1" applyFill="1" applyBorder="1" applyAlignment="1" applyProtection="1">
      <alignment vertical="center"/>
      <protection hidden="1"/>
    </xf>
    <xf numFmtId="4" fontId="38" fillId="0" borderId="121" xfId="2" applyNumberFormat="1" applyFont="1" applyFill="1" applyBorder="1" applyAlignment="1" applyProtection="1">
      <alignment horizontal="right" vertical="center"/>
      <protection locked="0" hidden="1"/>
    </xf>
    <xf numFmtId="0" fontId="32" fillId="0" borderId="0" xfId="0" applyFont="1" applyBorder="1" applyAlignment="1"/>
    <xf numFmtId="0" fontId="5" fillId="0" borderId="0" xfId="0" applyFont="1" applyBorder="1" applyAlignment="1" applyProtection="1">
      <protection hidden="1"/>
    </xf>
    <xf numFmtId="0" fontId="5" fillId="0" borderId="121" xfId="0" applyFont="1" applyFill="1" applyBorder="1" applyAlignment="1" applyProtection="1">
      <alignment horizontal="center" vertical="center" wrapText="1"/>
      <protection hidden="1"/>
    </xf>
    <xf numFmtId="4" fontId="39" fillId="0" borderId="121" xfId="2" applyNumberFormat="1" applyFont="1" applyFill="1" applyBorder="1" applyAlignment="1" applyProtection="1">
      <alignment horizontal="center" vertical="center"/>
      <protection hidden="1"/>
    </xf>
    <xf numFmtId="4" fontId="40" fillId="0" borderId="121" xfId="2" applyNumberFormat="1" applyFont="1" applyFill="1" applyBorder="1" applyAlignment="1" applyProtection="1">
      <alignment horizontal="center" vertical="center"/>
      <protection hidden="1"/>
    </xf>
    <xf numFmtId="4" fontId="6" fillId="0" borderId="122" xfId="2" applyNumberFormat="1" applyFont="1" applyFill="1" applyBorder="1" applyAlignment="1" applyProtection="1">
      <alignment horizontal="center" vertical="center"/>
      <protection hidden="1"/>
    </xf>
    <xf numFmtId="4" fontId="6" fillId="0" borderId="121" xfId="2" applyNumberFormat="1" applyFont="1" applyFill="1" applyBorder="1" applyAlignment="1" applyProtection="1">
      <alignment horizontal="center" vertical="center"/>
      <protection hidden="1"/>
    </xf>
    <xf numFmtId="4" fontId="38" fillId="0" borderId="123" xfId="2" applyNumberFormat="1" applyFont="1" applyFill="1" applyBorder="1" applyAlignment="1" applyProtection="1">
      <alignment horizontal="right" vertical="center"/>
      <protection locked="0" hidden="1"/>
    </xf>
    <xf numFmtId="4" fontId="6" fillId="0" borderId="120" xfId="2" applyNumberFormat="1" applyFont="1" applyFill="1" applyBorder="1" applyAlignment="1" applyProtection="1">
      <alignment horizontal="right" vertical="center"/>
      <protection hidden="1"/>
    </xf>
    <xf numFmtId="4" fontId="14" fillId="0" borderId="121" xfId="2" applyNumberFormat="1" applyFont="1" applyFill="1" applyBorder="1" applyAlignment="1" applyProtection="1">
      <alignment horizontal="center" vertical="center"/>
      <protection hidden="1"/>
    </xf>
    <xf numFmtId="43" fontId="5" fillId="0" borderId="124" xfId="0" applyNumberFormat="1" applyFont="1" applyFill="1" applyBorder="1" applyAlignment="1" applyProtection="1">
      <alignment horizontal="right" vertical="center"/>
      <protection locked="0" hidden="1"/>
    </xf>
    <xf numFmtId="43" fontId="5" fillId="0" borderId="118" xfId="0" applyNumberFormat="1" applyFont="1" applyFill="1" applyBorder="1" applyAlignment="1" applyProtection="1">
      <alignment horizontal="right" vertical="center"/>
      <protection locked="0" hidden="1"/>
    </xf>
    <xf numFmtId="0" fontId="5" fillId="0" borderId="125" xfId="0" applyFont="1" applyFill="1" applyBorder="1" applyAlignment="1" applyProtection="1">
      <alignment horizontal="left" vertical="center"/>
      <protection hidden="1"/>
    </xf>
    <xf numFmtId="4" fontId="38" fillId="0" borderId="120" xfId="2" applyNumberFormat="1" applyFont="1" applyFill="1" applyBorder="1" applyAlignment="1" applyProtection="1">
      <alignment horizontal="right" vertical="center"/>
      <protection locked="0" hidden="1"/>
    </xf>
    <xf numFmtId="0" fontId="38" fillId="0" borderId="121" xfId="0" applyFont="1" applyFill="1" applyBorder="1" applyAlignment="1" applyProtection="1">
      <alignment vertical="center"/>
      <protection hidden="1"/>
    </xf>
    <xf numFmtId="0" fontId="5" fillId="0" borderId="121" xfId="0" applyFont="1" applyFill="1" applyBorder="1" applyAlignment="1" applyProtection="1">
      <alignment vertical="center"/>
      <protection hidden="1"/>
    </xf>
    <xf numFmtId="4" fontId="39" fillId="0" borderId="121" xfId="0" applyNumberFormat="1" applyFont="1" applyFill="1" applyBorder="1" applyAlignment="1" applyProtection="1">
      <alignment horizontal="center" vertical="center"/>
      <protection hidden="1"/>
    </xf>
    <xf numFmtId="4" fontId="6" fillId="0" borderId="121" xfId="0" applyNumberFormat="1" applyFont="1" applyFill="1" applyBorder="1" applyAlignment="1" applyProtection="1">
      <alignment vertical="center"/>
      <protection hidden="1"/>
    </xf>
    <xf numFmtId="4" fontId="5" fillId="0" borderId="121" xfId="0" applyNumberFormat="1" applyFont="1" applyFill="1" applyBorder="1" applyAlignment="1" applyProtection="1">
      <alignment horizontal="center" vertical="center"/>
      <protection hidden="1"/>
    </xf>
    <xf numFmtId="2" fontId="9" fillId="0" borderId="121" xfId="0" applyNumberFormat="1" applyFont="1" applyFill="1" applyBorder="1" applyAlignment="1" applyProtection="1">
      <alignment vertical="center"/>
      <protection hidden="1"/>
    </xf>
    <xf numFmtId="2" fontId="6" fillId="0" borderId="122" xfId="0" applyNumberFormat="1" applyFont="1" applyFill="1" applyBorder="1" applyAlignment="1" applyProtection="1">
      <alignment horizontal="center" vertical="center"/>
      <protection hidden="1"/>
    </xf>
    <xf numFmtId="0" fontId="6" fillId="8" borderId="126" xfId="0" applyFont="1" applyFill="1" applyBorder="1" applyAlignment="1" applyProtection="1">
      <alignment horizontal="center" vertical="center" wrapText="1"/>
      <protection hidden="1"/>
    </xf>
    <xf numFmtId="0" fontId="5" fillId="0" borderId="127" xfId="0" applyFont="1" applyBorder="1" applyAlignment="1" applyProtection="1">
      <alignment horizontal="center" vertical="center" wrapText="1"/>
      <protection hidden="1"/>
    </xf>
    <xf numFmtId="3" fontId="38" fillId="12" borderId="119" xfId="2" applyNumberFormat="1" applyFont="1" applyFill="1" applyBorder="1" applyAlignment="1" applyProtection="1">
      <alignment horizontal="right" vertical="center"/>
      <protection locked="0" hidden="1"/>
    </xf>
    <xf numFmtId="4" fontId="10" fillId="0" borderId="128" xfId="2" applyNumberFormat="1" applyFont="1" applyFill="1" applyBorder="1" applyAlignment="1" applyProtection="1">
      <alignment horizontal="right" vertical="center"/>
      <protection hidden="1"/>
    </xf>
    <xf numFmtId="4" fontId="7" fillId="0" borderId="129" xfId="2" applyNumberFormat="1" applyFont="1" applyFill="1" applyBorder="1" applyAlignment="1" applyProtection="1">
      <alignment horizontal="right" vertical="center"/>
      <protection hidden="1"/>
    </xf>
    <xf numFmtId="4" fontId="7" fillId="0" borderId="130" xfId="2" applyNumberFormat="1" applyFont="1" applyFill="1" applyBorder="1" applyAlignment="1" applyProtection="1">
      <alignment horizontal="right" vertical="center"/>
      <protection hidden="1"/>
    </xf>
    <xf numFmtId="0" fontId="5" fillId="0" borderId="97" xfId="0" applyFont="1" applyFill="1" applyBorder="1" applyAlignment="1" applyProtection="1">
      <alignment vertical="center"/>
      <protection hidden="1"/>
    </xf>
    <xf numFmtId="0" fontId="5" fillId="0" borderId="93" xfId="0" applyFont="1" applyBorder="1" applyAlignment="1" applyProtection="1">
      <alignment vertical="center"/>
      <protection hidden="1"/>
    </xf>
    <xf numFmtId="0" fontId="30" fillId="0" borderId="0" xfId="0" applyFont="1" applyAlignment="1" applyProtection="1">
      <alignment horizontal="left" vertical="center"/>
      <protection hidden="1"/>
    </xf>
    <xf numFmtId="165" fontId="31" fillId="13" borderId="38" xfId="2" applyNumberFormat="1" applyFont="1" applyFill="1" applyBorder="1" applyAlignment="1" applyProtection="1">
      <alignment horizontal="right"/>
      <protection hidden="1"/>
    </xf>
    <xf numFmtId="165" fontId="31" fillId="0" borderId="38" xfId="2" applyNumberFormat="1" applyFont="1" applyFill="1" applyBorder="1" applyAlignment="1" applyProtection="1">
      <alignment horizontal="right"/>
      <protection hidden="1"/>
    </xf>
    <xf numFmtId="0" fontId="31" fillId="0" borderId="0" xfId="0" applyFont="1" applyFill="1" applyBorder="1" applyAlignment="1" applyProtection="1">
      <alignment horizontal="left" indent="2"/>
      <protection hidden="1"/>
    </xf>
    <xf numFmtId="165" fontId="0" fillId="0" borderId="0" xfId="0" applyNumberFormat="1"/>
    <xf numFmtId="10" fontId="0" fillId="0" borderId="0" xfId="0" applyNumberFormat="1"/>
    <xf numFmtId="0" fontId="34" fillId="14" borderId="45" xfId="0" applyFont="1" applyFill="1" applyBorder="1"/>
    <xf numFmtId="10" fontId="34" fillId="14" borderId="46" xfId="0" applyNumberFormat="1" applyFont="1" applyFill="1" applyBorder="1"/>
    <xf numFmtId="10" fontId="34" fillId="14" borderId="47" xfId="0" applyNumberFormat="1" applyFont="1" applyFill="1" applyBorder="1"/>
    <xf numFmtId="0" fontId="14" fillId="0" borderId="0" xfId="0" applyFont="1" applyFill="1" applyBorder="1" applyAlignment="1" applyProtection="1">
      <alignment horizontal="left" indent="2"/>
      <protection hidden="1"/>
    </xf>
    <xf numFmtId="0" fontId="34" fillId="15" borderId="45" xfId="0" applyFont="1" applyFill="1" applyBorder="1"/>
    <xf numFmtId="10" fontId="34" fillId="15" borderId="46" xfId="0" applyNumberFormat="1" applyFont="1" applyFill="1" applyBorder="1"/>
    <xf numFmtId="10" fontId="34" fillId="15" borderId="47" xfId="0" applyNumberFormat="1" applyFont="1" applyFill="1" applyBorder="1"/>
    <xf numFmtId="0" fontId="31" fillId="0" borderId="38" xfId="0" applyFont="1" applyFill="1" applyBorder="1" applyProtection="1">
      <protection hidden="1"/>
    </xf>
    <xf numFmtId="43" fontId="31" fillId="0" borderId="39" xfId="2" applyFont="1" applyFill="1" applyBorder="1" applyAlignment="1" applyProtection="1">
      <alignment horizontal="right"/>
      <protection hidden="1"/>
    </xf>
    <xf numFmtId="43" fontId="31" fillId="0" borderId="39" xfId="2" applyNumberFormat="1" applyFont="1" applyFill="1" applyBorder="1" applyAlignment="1" applyProtection="1">
      <alignment horizontal="center"/>
      <protection hidden="1"/>
    </xf>
    <xf numFmtId="0" fontId="0" fillId="13" borderId="0" xfId="0" applyFill="1"/>
    <xf numFmtId="165" fontId="31" fillId="13" borderId="42" xfId="2" applyNumberFormat="1" applyFont="1" applyFill="1" applyBorder="1" applyAlignment="1" applyProtection="1">
      <alignment horizontal="right"/>
      <protection hidden="1"/>
    </xf>
    <xf numFmtId="0" fontId="2" fillId="9" borderId="26" xfId="0" applyFont="1" applyFill="1" applyBorder="1" applyAlignment="1" applyProtection="1">
      <alignment horizontal="center"/>
    </xf>
    <xf numFmtId="0" fontId="29" fillId="9" borderId="26" xfId="0" applyFont="1" applyFill="1" applyBorder="1" applyAlignment="1">
      <alignment horizontal="center"/>
    </xf>
    <xf numFmtId="0" fontId="29" fillId="9" borderId="30" xfId="0" applyFont="1" applyFill="1" applyBorder="1" applyAlignment="1">
      <alignment horizontal="center"/>
    </xf>
    <xf numFmtId="0" fontId="2" fillId="9" borderId="30" xfId="0" applyFont="1" applyFill="1" applyBorder="1" applyProtection="1"/>
    <xf numFmtId="0" fontId="2" fillId="9" borderId="32" xfId="0" applyFont="1" applyFill="1" applyBorder="1" applyProtection="1"/>
    <xf numFmtId="0" fontId="4" fillId="13" borderId="26" xfId="0" applyFont="1" applyFill="1" applyBorder="1" applyAlignment="1">
      <alignment horizontal="center" vertical="center"/>
    </xf>
    <xf numFmtId="39" fontId="2" fillId="10" borderId="26" xfId="3" applyNumberFormat="1" applyFont="1" applyFill="1" applyBorder="1" applyAlignment="1" applyProtection="1">
      <alignment horizontal="center"/>
    </xf>
    <xf numFmtId="0" fontId="2" fillId="10" borderId="26" xfId="0" applyFont="1" applyFill="1" applyBorder="1" applyAlignment="1" applyProtection="1">
      <alignment horizontal="center"/>
    </xf>
    <xf numFmtId="3" fontId="2" fillId="10" borderId="26" xfId="0" applyNumberFormat="1" applyFont="1" applyFill="1" applyBorder="1" applyAlignment="1">
      <alignment horizontal="center"/>
    </xf>
    <xf numFmtId="0" fontId="2" fillId="10" borderId="26" xfId="0" applyFont="1" applyFill="1" applyBorder="1" applyAlignment="1">
      <alignment horizontal="center"/>
    </xf>
    <xf numFmtId="3" fontId="2" fillId="10" borderId="27" xfId="0" applyNumberFormat="1" applyFont="1" applyFill="1" applyBorder="1" applyAlignment="1">
      <alignment horizontal="center"/>
    </xf>
    <xf numFmtId="49" fontId="24" fillId="0" borderId="0" xfId="0" applyNumberFormat="1" applyFont="1" applyAlignment="1" applyProtection="1">
      <alignment horizontal="left" vertical="center"/>
      <protection hidden="1"/>
    </xf>
    <xf numFmtId="165" fontId="31" fillId="0" borderId="42" xfId="2" applyNumberFormat="1" applyFont="1" applyFill="1" applyBorder="1" applyAlignment="1" applyProtection="1">
      <alignment horizontal="right"/>
      <protection hidden="1"/>
    </xf>
    <xf numFmtId="0" fontId="5" fillId="0" borderId="135" xfId="0" applyFont="1" applyBorder="1" applyAlignment="1" applyProtection="1">
      <alignment horizontal="left" vertical="center" wrapText="1"/>
      <protection hidden="1"/>
    </xf>
    <xf numFmtId="0" fontId="5" fillId="0" borderId="60" xfId="0" applyFont="1" applyBorder="1" applyAlignment="1" applyProtection="1">
      <alignment horizontal="left" vertical="center" wrapText="1"/>
      <protection hidden="1"/>
    </xf>
    <xf numFmtId="0" fontId="5" fillId="0" borderId="136" xfId="0" applyFont="1" applyBorder="1" applyAlignment="1" applyProtection="1">
      <alignment horizontal="left" vertical="center"/>
      <protection hidden="1"/>
    </xf>
    <xf numFmtId="4" fontId="38" fillId="12" borderId="84" xfId="2" applyNumberFormat="1" applyFont="1" applyFill="1" applyBorder="1" applyAlignment="1" applyProtection="1">
      <alignment horizontal="right" vertical="center"/>
      <protection locked="0" hidden="1"/>
    </xf>
    <xf numFmtId="4" fontId="38" fillId="12" borderId="107" xfId="2" applyNumberFormat="1" applyFont="1" applyFill="1" applyBorder="1" applyAlignment="1" applyProtection="1">
      <alignment horizontal="right" vertical="center"/>
      <protection locked="0" hidden="1"/>
    </xf>
    <xf numFmtId="43" fontId="0" fillId="0" borderId="0" xfId="0" applyNumberFormat="1"/>
    <xf numFmtId="0" fontId="14" fillId="0" borderId="0" xfId="0" applyFont="1" applyBorder="1" applyProtection="1">
      <protection hidden="1"/>
    </xf>
    <xf numFmtId="164" fontId="14" fillId="0" borderId="39" xfId="2" applyNumberFormat="1" applyFont="1" applyBorder="1" applyProtection="1">
      <protection hidden="1"/>
    </xf>
    <xf numFmtId="165" fontId="14" fillId="0" borderId="38" xfId="2" applyNumberFormat="1" applyFont="1" applyFill="1" applyBorder="1" applyAlignment="1" applyProtection="1">
      <alignment horizontal="right"/>
      <protection hidden="1"/>
    </xf>
    <xf numFmtId="43" fontId="14" fillId="0" borderId="39" xfId="2" applyFont="1" applyFill="1" applyBorder="1" applyAlignment="1" applyProtection="1">
      <alignment horizontal="right"/>
      <protection hidden="1"/>
    </xf>
    <xf numFmtId="0" fontId="34" fillId="0" borderId="0" xfId="0" applyFont="1"/>
    <xf numFmtId="165" fontId="14" fillId="13" borderId="38" xfId="2" applyNumberFormat="1" applyFont="1" applyFill="1" applyBorder="1" applyAlignment="1" applyProtection="1">
      <alignment horizontal="right"/>
      <protection hidden="1"/>
    </xf>
    <xf numFmtId="43" fontId="14" fillId="0" borderId="39" xfId="2" applyNumberFormat="1" applyFont="1" applyFill="1" applyBorder="1" applyAlignment="1" applyProtection="1">
      <alignment horizontal="center"/>
      <protection hidden="1"/>
    </xf>
    <xf numFmtId="0" fontId="3" fillId="11" borderId="26" xfId="0" applyFont="1" applyFill="1" applyBorder="1" applyAlignment="1">
      <alignment horizontal="center"/>
    </xf>
    <xf numFmtId="0" fontId="3" fillId="10" borderId="26" xfId="0" applyFont="1" applyFill="1" applyBorder="1" applyAlignment="1">
      <alignment horizontal="center"/>
    </xf>
    <xf numFmtId="0" fontId="2" fillId="9" borderId="26" xfId="0" applyFont="1" applyFill="1" applyBorder="1" applyAlignment="1" applyProtection="1">
      <alignment horizontal="center"/>
    </xf>
    <xf numFmtId="0" fontId="18" fillId="0" borderId="0" xfId="1" applyFont="1" applyAlignment="1" applyProtection="1">
      <alignment horizontal="center" wrapText="1"/>
      <protection hidden="1"/>
    </xf>
    <xf numFmtId="0" fontId="5" fillId="0" borderId="131" xfId="0" applyFont="1" applyBorder="1" applyAlignment="1" applyProtection="1">
      <alignment horizontal="left" vertical="center"/>
      <protection hidden="1"/>
    </xf>
    <xf numFmtId="0" fontId="5" fillId="0" borderId="132" xfId="0" applyFont="1" applyBorder="1" applyAlignment="1" applyProtection="1">
      <alignment horizontal="left" vertical="center"/>
      <protection hidden="1"/>
    </xf>
    <xf numFmtId="0" fontId="5" fillId="0" borderId="133" xfId="0" applyFont="1" applyBorder="1" applyAlignment="1" applyProtection="1">
      <alignment horizontal="left" vertical="center"/>
      <protection hidden="1"/>
    </xf>
    <xf numFmtId="0" fontId="5" fillId="0" borderId="0" xfId="0" applyFont="1" applyFill="1" applyBorder="1" applyAlignment="1" applyProtection="1">
      <alignment horizontal="center" vertical="center" wrapText="1"/>
      <protection hidden="1"/>
    </xf>
    <xf numFmtId="0" fontId="5" fillId="0" borderId="50" xfId="0" applyFont="1" applyBorder="1" applyAlignment="1" applyProtection="1">
      <alignment horizontal="left" vertical="center"/>
      <protection hidden="1"/>
    </xf>
    <xf numFmtId="0" fontId="5" fillId="0" borderId="49" xfId="0" applyFont="1" applyBorder="1" applyAlignment="1" applyProtection="1">
      <alignment horizontal="left" vertical="center"/>
      <protection hidden="1"/>
    </xf>
    <xf numFmtId="0" fontId="5" fillId="0" borderId="8" xfId="0" applyFont="1" applyFill="1" applyBorder="1" applyAlignment="1" applyProtection="1">
      <alignment horizontal="center" vertical="center"/>
      <protection hidden="1"/>
    </xf>
    <xf numFmtId="0" fontId="40" fillId="0" borderId="0" xfId="0" applyFont="1" applyFill="1" applyAlignment="1" applyProtection="1">
      <alignment horizontal="center" vertical="center"/>
      <protection hidden="1"/>
    </xf>
    <xf numFmtId="49" fontId="33" fillId="0" borderId="67" xfId="0" applyNumberFormat="1" applyFont="1" applyBorder="1" applyAlignment="1" applyProtection="1">
      <alignment horizontal="left" vertical="center"/>
      <protection hidden="1"/>
    </xf>
    <xf numFmtId="49" fontId="33" fillId="0" borderId="0" xfId="0" applyNumberFormat="1" applyFont="1" applyAlignment="1" applyProtection="1">
      <alignment horizontal="left" vertical="center"/>
      <protection hidden="1"/>
    </xf>
    <xf numFmtId="0" fontId="23" fillId="0" borderId="0" xfId="0" applyFont="1" applyFill="1" applyAlignment="1">
      <alignment horizontal="left"/>
    </xf>
    <xf numFmtId="0" fontId="5" fillId="8" borderId="62" xfId="0" applyFont="1" applyFill="1" applyBorder="1" applyAlignment="1" applyProtection="1">
      <alignment horizontal="center" vertical="center" wrapText="1"/>
      <protection hidden="1"/>
    </xf>
    <xf numFmtId="0" fontId="5" fillId="8" borderId="134" xfId="0" applyFont="1" applyFill="1" applyBorder="1" applyAlignment="1" applyProtection="1">
      <alignment horizontal="center" vertical="center" wrapText="1"/>
      <protection hidden="1"/>
    </xf>
    <xf numFmtId="0" fontId="5" fillId="0" borderId="64" xfId="0" applyFont="1" applyBorder="1" applyAlignment="1" applyProtection="1">
      <alignment horizontal="left" vertical="center"/>
      <protection hidden="1"/>
    </xf>
    <xf numFmtId="0" fontId="5" fillId="0" borderId="55" xfId="0" applyFont="1" applyBorder="1" applyAlignment="1" applyProtection="1">
      <alignment horizontal="left" vertical="center"/>
      <protection hidden="1"/>
    </xf>
    <xf numFmtId="0" fontId="5" fillId="0" borderId="64" xfId="0" applyFont="1" applyBorder="1" applyAlignment="1" applyProtection="1">
      <alignment horizontal="left" vertical="center" wrapText="1"/>
      <protection hidden="1"/>
    </xf>
    <xf numFmtId="0" fontId="5" fillId="0" borderId="55" xfId="0" applyFont="1" applyBorder="1" applyAlignment="1" applyProtection="1">
      <alignment horizontal="left" vertical="center" wrapText="1"/>
      <protection hidden="1"/>
    </xf>
    <xf numFmtId="0" fontId="41" fillId="0" borderId="0" xfId="0" applyFont="1" applyAlignment="1" applyProtection="1">
      <alignment horizontal="left" vertical="center" wrapText="1"/>
      <protection hidden="1"/>
    </xf>
  </cellXfs>
  <cellStyles count="5">
    <cellStyle name="Lien hypertexte" xfId="1" builtinId="8"/>
    <cellStyle name="Milliers" xfId="2" builtinId="3"/>
    <cellStyle name="Monétaire" xfId="3" builtinId="4"/>
    <cellStyle name="Normal" xfId="0" builtinId="0"/>
    <cellStyle name="Pourcentage" xfId="4" builtinId="5"/>
  </cellStyles>
  <dxfs count="0"/>
  <tableStyles count="0" defaultTableStyle="TableStyleMedium9" defaultPivotStyle="PivotStyleLight16"/>
  <colors>
    <indexedColors>
      <rgbColor rgb="00000000"/>
      <rgbColor rgb="00FFFFFF"/>
      <rgbColor rgb="00FF0000"/>
      <rgbColor rgb="0000FF00"/>
      <rgbColor rgb="000000FF"/>
      <rgbColor rgb="00FFFF00"/>
      <rgbColor rgb="00FF00FF"/>
      <rgbColor rgb="0000FFFF"/>
      <rgbColor rgb="00000000"/>
      <rgbColor rgb="00FFFFFF"/>
      <rgbColor rgb="00FF0000"/>
      <rgbColor rgb="0000FF00"/>
      <rgbColor rgb="000000FF"/>
      <rgbColor rgb="00FFFF00"/>
      <rgbColor rgb="00FF00FF"/>
      <rgbColor rgb="0000FFFF"/>
      <rgbColor rgb="00800000"/>
      <rgbColor rgb="00008000"/>
      <rgbColor rgb="00000080"/>
      <rgbColor rgb="00808000"/>
      <rgbColor rgb="00800080"/>
      <rgbColor rgb="00008080"/>
      <rgbColor rgb="00C0C0C0"/>
      <rgbColor rgb="00808080"/>
      <rgbColor rgb="009999FF"/>
      <rgbColor rgb="00993366"/>
      <rgbColor rgb="00FFFFCC"/>
      <rgbColor rgb="00CCFFFF"/>
      <rgbColor rgb="00660066"/>
      <rgbColor rgb="00FF8080"/>
      <rgbColor rgb="000066CC"/>
      <rgbColor rgb="00CCCCFF"/>
      <rgbColor rgb="00000080"/>
      <rgbColor rgb="00FF00FF"/>
      <rgbColor rgb="00FFFF00"/>
      <rgbColor rgb="0000FFFF"/>
      <rgbColor rgb="00800080"/>
      <rgbColor rgb="00800000"/>
      <rgbColor rgb="00008080"/>
      <rgbColor rgb="000000FF"/>
      <rgbColor rgb="0000CCFF"/>
      <rgbColor rgb="00CCFFFF"/>
      <rgbColor rgb="00CCFFCC"/>
      <rgbColor rgb="00DBE955"/>
      <rgbColor rgb="0099CCFF"/>
      <rgbColor rgb="00FF99CC"/>
      <rgbColor rgb="00CC99FF"/>
      <rgbColor rgb="00FFCC99"/>
      <rgbColor rgb="003366FF"/>
      <rgbColor rgb="0033CCCC"/>
      <rgbColor rgb="0099CC00"/>
      <rgbColor rgb="00FFCC00"/>
      <rgbColor rgb="00FF9900"/>
      <rgbColor rgb="00FF6600"/>
      <rgbColor rgb="00666699"/>
      <rgbColor rgb="00969696"/>
      <rgbColor rgb="00003366"/>
      <rgbColor rgb="00339966"/>
      <rgbColor rgb="00003300"/>
      <rgbColor rgb="00333300"/>
      <rgbColor rgb="00993300"/>
      <rgbColor rgb="00993366"/>
      <rgbColor rgb="00333399"/>
      <rgbColor rgb="00333333"/>
    </indexedColors>
  </colors>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drawings/_rels/vmlDrawing4.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drawings/drawing1.xml><?xml version="1.0" encoding="utf-8"?>
<xdr:wsDr xmlns:xdr="http://schemas.openxmlformats.org/drawingml/2006/spreadsheetDrawing" xmlns:a="http://schemas.openxmlformats.org/drawingml/2006/main">
  <xdr:oneCellAnchor>
    <xdr:from>
      <xdr:col>6</xdr:col>
      <xdr:colOff>275020</xdr:colOff>
      <xdr:row>0</xdr:row>
      <xdr:rowOff>0</xdr:rowOff>
    </xdr:from>
    <xdr:ext cx="4433742" cy="1395092"/>
    <xdr:sp macro="" textlink="">
      <xdr:nvSpPr>
        <xdr:cNvPr id="2" name="ZoneTexte 1"/>
        <xdr:cNvSpPr txBox="1"/>
      </xdr:nvSpPr>
      <xdr:spPr>
        <a:xfrm>
          <a:off x="8197072" y="0"/>
          <a:ext cx="4568727" cy="1395092"/>
        </a:xfrm>
        <a:prstGeom prst="rect">
          <a:avLst/>
        </a:prstGeom>
        <a:solidFill>
          <a:srgbClr val="0070C0"/>
        </a:solidFill>
      </xdr:spPr>
      <xdr:style>
        <a:lnRef idx="0">
          <a:scrgbClr r="0" g="0" b="0"/>
        </a:lnRef>
        <a:fillRef idx="0">
          <a:scrgbClr r="0" g="0" b="0"/>
        </a:fillRef>
        <a:effectRef idx="0">
          <a:scrgbClr r="0" g="0" b="0"/>
        </a:effectRef>
        <a:fontRef idx="minor">
          <a:schemeClr val="tx1"/>
        </a:fontRef>
      </xdr:style>
      <xdr:txBody>
        <a:bodyPr vertOverflow="clip" wrap="square" rtlCol="0" anchor="t">
          <a:noAutofit/>
        </a:bodyPr>
        <a:lstStyle/>
        <a:p>
          <a:r>
            <a:rPr lang="fr-FR" sz="900" b="1" u="sng" baseline="0">
              <a:solidFill>
                <a:schemeClr val="bg1"/>
              </a:solidFill>
              <a:latin typeface="Arial" pitchFamily="34" charset="0"/>
              <a:cs typeface="Arial" pitchFamily="34" charset="0"/>
            </a:rPr>
            <a:t>Les cases en bleu sont modifiables </a:t>
          </a:r>
        </a:p>
        <a:p>
          <a:pPr marL="0" marR="0" indent="0" defTabSz="914400" eaLnBrk="1" fontAlgn="auto" latinLnBrk="0" hangingPunct="1">
            <a:lnSpc>
              <a:spcPct val="100000"/>
            </a:lnSpc>
            <a:spcBef>
              <a:spcPts val="0"/>
            </a:spcBef>
            <a:spcAft>
              <a:spcPts val="0"/>
            </a:spcAft>
            <a:buClrTx/>
            <a:buSzTx/>
            <a:buFontTx/>
            <a:buNone/>
            <a:tabLst/>
            <a:defRPr/>
          </a:pPr>
          <a:endParaRPr lang="fr-FR" sz="900" b="1" u="none"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lang="fr-FR" sz="900" b="1" u="none" baseline="0">
              <a:solidFill>
                <a:schemeClr val="bg1"/>
              </a:solidFill>
              <a:latin typeface="Arial" pitchFamily="34" charset="0"/>
              <a:cs typeface="Arial" pitchFamily="34" charset="0"/>
            </a:rPr>
            <a:t>IMPORTANT !</a:t>
          </a:r>
          <a:endParaRPr lang="fr-FR" sz="900" b="1" u="dbl" baseline="0">
            <a:solidFill>
              <a:schemeClr val="bg1"/>
            </a:solidFill>
            <a:latin typeface="Arial" pitchFamily="34" charset="0"/>
            <a:cs typeface="Arial" pitchFamily="34" charset="0"/>
          </a:endParaRPr>
        </a:p>
        <a:p>
          <a:r>
            <a:rPr lang="fr-FR" sz="900" b="1" baseline="0">
              <a:solidFill>
                <a:schemeClr val="bg1"/>
              </a:solidFill>
              <a:latin typeface="Times New Roman"/>
              <a:cs typeface="Times New Roman"/>
            </a:rPr>
            <a:t>▪ </a:t>
          </a:r>
          <a:r>
            <a:rPr lang="fr-FR" sz="900" b="1" baseline="0">
              <a:solidFill>
                <a:schemeClr val="bg1"/>
              </a:solidFill>
              <a:latin typeface="Arial" pitchFamily="34" charset="0"/>
              <a:cs typeface="Arial" pitchFamily="34" charset="0"/>
            </a:rPr>
            <a:t>Le salaire horaire minimum conventionnel </a:t>
          </a:r>
          <a:r>
            <a:rPr lang="fr-FR" sz="900" b="1" u="none" baseline="0">
              <a:solidFill>
                <a:schemeClr val="bg1"/>
              </a:solidFill>
              <a:latin typeface="Arial" pitchFamily="34" charset="0"/>
              <a:cs typeface="Arial" pitchFamily="34" charset="0"/>
            </a:rPr>
            <a:t>: 10,40 euros brut </a:t>
          </a:r>
          <a:r>
            <a:rPr lang="fr-FR" sz="900" b="1" baseline="0">
              <a:solidFill>
                <a:schemeClr val="bg1"/>
              </a:solidFill>
              <a:latin typeface="Arial" pitchFamily="34" charset="0"/>
              <a:cs typeface="Arial" pitchFamily="34" charset="0"/>
            </a:rPr>
            <a:t>pour  :  </a:t>
          </a:r>
        </a:p>
        <a:p>
          <a:r>
            <a:rPr lang="fr-FR" sz="900" b="1">
              <a:solidFill>
                <a:schemeClr val="bg1"/>
              </a:solidFill>
              <a:latin typeface="Arial" pitchFamily="34" charset="0"/>
              <a:cs typeface="Arial" pitchFamily="34" charset="0"/>
            </a:rPr>
            <a:t>Une garde d'enfant(s) à domicile A ou</a:t>
          </a:r>
          <a:r>
            <a:rPr lang="fr-FR" sz="900" b="1" baseline="0">
              <a:solidFill>
                <a:schemeClr val="bg1"/>
              </a:solidFill>
              <a:latin typeface="Arial" pitchFamily="34" charset="0"/>
              <a:cs typeface="Arial" pitchFamily="34" charset="0"/>
            </a:rPr>
            <a:t> B</a:t>
          </a:r>
        </a:p>
        <a:p>
          <a:r>
            <a:rPr lang="fr-FR" sz="900" b="1" baseline="0">
              <a:solidFill>
                <a:schemeClr val="bg1"/>
              </a:solidFill>
              <a:latin typeface="Arial" pitchFamily="34" charset="0"/>
              <a:cs typeface="Arial" pitchFamily="34" charset="0"/>
            </a:rPr>
            <a:t>Une employée familiale auprès d'enfants</a:t>
          </a:r>
        </a:p>
        <a:p>
          <a:endParaRPr lang="fr-FR" sz="900" b="1" baseline="0">
            <a:solidFill>
              <a:schemeClr val="bg1"/>
            </a:solidFill>
            <a:latin typeface="Arial" pitchFamily="34" charset="0"/>
            <a:cs typeface="Arial" pitchFamily="34" charset="0"/>
          </a:endParaRPr>
        </a:p>
        <a:p>
          <a:pPr marL="0" marR="0" indent="0" defTabSz="914400" eaLnBrk="1" fontAlgn="auto" latinLnBrk="0" hangingPunct="1">
            <a:lnSpc>
              <a:spcPct val="100000"/>
            </a:lnSpc>
            <a:spcBef>
              <a:spcPts val="0"/>
            </a:spcBef>
            <a:spcAft>
              <a:spcPts val="0"/>
            </a:spcAft>
            <a:buClrTx/>
            <a:buSzTx/>
            <a:buFontTx/>
            <a:buNone/>
            <a:tabLst/>
            <a:defRPr/>
          </a:pPr>
          <a:r>
            <a:rPr kumimoji="0" lang="fr-FR" sz="900" b="1" i="0" u="none" strike="noStrike" kern="0" cap="none" spc="0" normalizeH="0" baseline="0" noProof="0">
              <a:ln>
                <a:noFill/>
              </a:ln>
              <a:solidFill>
                <a:prstClr val="white"/>
              </a:solidFill>
              <a:effectLst/>
              <a:uLnTx/>
              <a:uFillTx/>
              <a:latin typeface="Times New Roman"/>
              <a:ea typeface="+mn-ea"/>
              <a:cs typeface="Times New Roman"/>
            </a:rPr>
            <a:t>▪ </a:t>
          </a:r>
          <a:r>
            <a:rPr lang="fr-FR" sz="900" b="1" baseline="0">
              <a:solidFill>
                <a:schemeClr val="bg1"/>
              </a:solidFill>
              <a:latin typeface="Arial" pitchFamily="34" charset="0"/>
              <a:cs typeface="Arial" pitchFamily="34" charset="0"/>
            </a:rPr>
            <a:t>Salaire minimum conventionnel d'une baby-sitter au 1er septembre 2019 :  10,13 euros bru</a:t>
          </a:r>
          <a:r>
            <a:rPr lang="fr-FR" sz="850" b="1" baseline="0">
              <a:solidFill>
                <a:schemeClr val="bg1"/>
              </a:solidFill>
              <a:latin typeface="Arial" pitchFamily="34" charset="0"/>
              <a:cs typeface="Arial" pitchFamily="34" charset="0"/>
            </a:rPr>
            <a:t>t </a:t>
          </a:r>
          <a:endParaRPr lang="fr-FR" sz="850" b="1">
            <a:solidFill>
              <a:schemeClr val="bg1"/>
            </a:solidFill>
            <a:latin typeface="Arial" pitchFamily="34" charset="0"/>
            <a:cs typeface="Arial" pitchFamily="34" charset="0"/>
          </a:endParaRPr>
        </a:p>
      </xdr:txBody>
    </xdr:sp>
    <xdr:clientData/>
  </xdr:oneCellAnchor>
  <xdr:oneCellAnchor>
    <xdr:from>
      <xdr:col>9</xdr:col>
      <xdr:colOff>351334</xdr:colOff>
      <xdr:row>0</xdr:row>
      <xdr:rowOff>99422</xdr:rowOff>
    </xdr:from>
    <xdr:ext cx="184731" cy="264560"/>
    <xdr:sp macro="" textlink="">
      <xdr:nvSpPr>
        <xdr:cNvPr id="3" name="ZoneTexte 2"/>
        <xdr:cNvSpPr txBox="1"/>
      </xdr:nvSpPr>
      <xdr:spPr>
        <a:xfrm>
          <a:off x="9511899" y="99422"/>
          <a:ext cx="184731" cy="264560"/>
        </a:xfrm>
        <a:prstGeom prst="rect">
          <a:avLst/>
        </a:prstGeom>
        <a:noFill/>
      </xdr:spPr>
      <xdr:style>
        <a:lnRef idx="0">
          <a:scrgbClr r="0" g="0" b="0"/>
        </a:lnRef>
        <a:fillRef idx="0">
          <a:scrgbClr r="0" g="0" b="0"/>
        </a:fillRef>
        <a:effectRef idx="0">
          <a:scrgbClr r="0" g="0" b="0"/>
        </a:effectRef>
        <a:fontRef idx="minor">
          <a:schemeClr val="tx1"/>
        </a:fontRef>
      </xdr:style>
      <xdr:txBody>
        <a:bodyPr vertOverflow="clip" wrap="none" rtlCol="0" anchor="t">
          <a:spAutoFit/>
        </a:bodyPr>
        <a:lstStyle/>
        <a:p>
          <a:endParaRPr lang="fr-FR"/>
        </a:p>
      </xdr:txBody>
    </xdr:sp>
    <xdr:clientData/>
  </xdr:oneCellAnchor>
</xdr:wsDr>
</file>

<file path=xl/theme/theme1.xml><?xml version="1.0" encoding="utf-8"?>
<a:theme xmlns:a="http://schemas.openxmlformats.org/drawingml/2006/main" name="Thème Office">
  <a:themeElements>
    <a:clrScheme name="Métro">
      <a:dk1>
        <a:sysClr val="windowText" lastClr="000000"/>
      </a:dk1>
      <a:lt1>
        <a:sysClr val="window" lastClr="FFFFFF"/>
      </a:lt1>
      <a:dk2>
        <a:srgbClr val="4E5B6F"/>
      </a:dk2>
      <a:lt2>
        <a:srgbClr val="D6ECFF"/>
      </a:lt2>
      <a:accent1>
        <a:srgbClr val="7FD13B"/>
      </a:accent1>
      <a:accent2>
        <a:srgbClr val="EA157A"/>
      </a:accent2>
      <a:accent3>
        <a:srgbClr val="FEB80A"/>
      </a:accent3>
      <a:accent4>
        <a:srgbClr val="00ADDC"/>
      </a:accent4>
      <a:accent5>
        <a:srgbClr val="738AC8"/>
      </a:accent5>
      <a:accent6>
        <a:srgbClr val="1AB39F"/>
      </a:accent6>
      <a:hlink>
        <a:srgbClr val="EB8803"/>
      </a:hlink>
      <a:folHlink>
        <a:srgbClr val="5F7791"/>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sp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spDef>
    <a:lnDef>
      <a:spPr bwMode="auto">
        <a:xfrm>
          <a:off x="0" y="0"/>
          <a:ext cx="1" cy="1"/>
        </a:xfrm>
        <a:custGeom>
          <a:avLst/>
          <a:gdLst/>
          <a:ahLst/>
          <a:cxnLst/>
          <a:rect l="0" t="0" r="0" b="0"/>
          <a:pathLst/>
        </a:custGeom>
        <a:solidFill>
          <a:srgbClr val="FFFFFF"/>
        </a:solidFill>
        <a:ln w="9525" cap="flat" cmpd="sng" algn="ctr">
          <a:solidFill>
            <a:srgbClr val="000000"/>
          </a:solidFill>
          <a:prstDash val="solid"/>
          <a:round/>
          <a:headEnd type="none" w="med" len="med"/>
          <a:tailEnd type="none" w="med" len="med"/>
        </a:ln>
        <a:effectLst/>
      </a:spPr>
      <a:bodyPr vertOverflow="clip" wrap="square" lIns="18288" tIns="0" rIns="0" bIns="0" upright="1"/>
      <a:lstStyle/>
    </a:lnDef>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1.xml"/><Relationship Id="rId1" Type="http://schemas.openxmlformats.org/officeDocument/2006/relationships/printerSettings" Target="../printerSettings/printerSettings3.bin"/><Relationship Id="rId5" Type="http://schemas.openxmlformats.org/officeDocument/2006/relationships/comments" Target="../comments3.xml"/><Relationship Id="rId4" Type="http://schemas.openxmlformats.org/officeDocument/2006/relationships/vmlDrawing" Target="../drawings/vmlDrawing4.vml"/></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sheetPr codeName="Feuil1"/>
  <dimension ref="A1:H45"/>
  <sheetViews>
    <sheetView showGridLines="0" showRowColHeaders="0" zoomScale="120" zoomScaleNormal="120" workbookViewId="0">
      <selection activeCell="F23" sqref="F23"/>
    </sheetView>
  </sheetViews>
  <sheetFormatPr baseColWidth="10" defaultRowHeight="12"/>
  <cols>
    <col min="1" max="1" width="24.7109375" style="1" customWidth="1"/>
    <col min="2" max="3" width="15.140625" style="1" customWidth="1"/>
    <col min="4" max="4" width="20.85546875" style="1" customWidth="1"/>
    <col min="5" max="5" width="14.28515625" style="1" customWidth="1"/>
    <col min="6" max="6" width="15.7109375" style="1" customWidth="1"/>
    <col min="7" max="7" width="19.5703125" style="1" bestFit="1" customWidth="1"/>
    <col min="8" max="16384" width="11.42578125" style="1"/>
  </cols>
  <sheetData>
    <row r="1" spans="1:8">
      <c r="A1" s="486" t="s">
        <v>92</v>
      </c>
      <c r="B1" s="486"/>
      <c r="C1" s="486"/>
      <c r="D1" s="486"/>
      <c r="E1" s="486"/>
      <c r="F1" s="486"/>
      <c r="G1" s="272" t="s">
        <v>70</v>
      </c>
      <c r="H1" s="257">
        <v>43663</v>
      </c>
    </row>
    <row r="2" spans="1:8">
      <c r="A2" s="236"/>
      <c r="B2" s="237"/>
      <c r="C2" s="237"/>
      <c r="D2" s="235"/>
      <c r="E2" s="235"/>
      <c r="F2" s="235"/>
      <c r="G2" s="235"/>
      <c r="H2" s="258"/>
    </row>
    <row r="3" spans="1:8">
      <c r="A3" s="236"/>
      <c r="B3" s="237"/>
      <c r="C3" s="237"/>
      <c r="D3" s="235"/>
      <c r="E3" s="235"/>
      <c r="F3" s="235"/>
      <c r="G3" s="235"/>
      <c r="H3" s="258"/>
    </row>
    <row r="4" spans="1:8">
      <c r="A4" s="238"/>
      <c r="B4" s="239"/>
      <c r="C4" s="240"/>
      <c r="D4" s="241"/>
      <c r="E4" s="241"/>
      <c r="F4" s="241"/>
      <c r="G4" s="241"/>
      <c r="H4" s="258"/>
    </row>
    <row r="5" spans="1:8">
      <c r="A5" s="241"/>
      <c r="B5" s="239"/>
      <c r="C5" s="240"/>
      <c r="D5" s="237"/>
      <c r="E5" s="239"/>
      <c r="F5" s="241"/>
      <c r="G5" s="242"/>
      <c r="H5" s="258"/>
    </row>
    <row r="6" spans="1:8">
      <c r="A6" s="243"/>
      <c r="B6" s="244"/>
      <c r="C6" s="240"/>
      <c r="D6" s="237"/>
      <c r="E6" s="245"/>
      <c r="F6" s="241"/>
      <c r="G6" s="241"/>
      <c r="H6" s="258"/>
    </row>
    <row r="7" spans="1:8">
      <c r="A7" s="241" t="s">
        <v>24</v>
      </c>
      <c r="B7" s="246" t="s">
        <v>34</v>
      </c>
      <c r="C7" s="247">
        <v>452</v>
      </c>
      <c r="D7" s="248" t="s">
        <v>35</v>
      </c>
      <c r="E7" s="239">
        <v>226</v>
      </c>
      <c r="F7" s="241"/>
      <c r="G7" s="241"/>
      <c r="H7" s="258"/>
    </row>
    <row r="8" spans="1:8">
      <c r="A8" s="241"/>
      <c r="B8" s="241"/>
      <c r="C8" s="241"/>
      <c r="D8" s="466"/>
      <c r="E8" s="241"/>
      <c r="F8" s="235"/>
      <c r="G8" s="461"/>
      <c r="H8" s="462"/>
    </row>
    <row r="9" spans="1:8">
      <c r="A9" s="239" t="s">
        <v>9</v>
      </c>
      <c r="B9" s="239" t="s">
        <v>10</v>
      </c>
      <c r="C9" s="239" t="s">
        <v>11</v>
      </c>
      <c r="D9" s="467" t="s">
        <v>81</v>
      </c>
      <c r="E9" s="239" t="s">
        <v>27</v>
      </c>
      <c r="F9" s="239" t="s">
        <v>26</v>
      </c>
      <c r="G9" s="460" t="s">
        <v>37</v>
      </c>
      <c r="H9" s="463" t="s">
        <v>148</v>
      </c>
    </row>
    <row r="10" spans="1:8">
      <c r="A10" s="249">
        <v>20755</v>
      </c>
      <c r="B10" s="249">
        <v>23701</v>
      </c>
      <c r="C10" s="250">
        <v>26647</v>
      </c>
      <c r="D10" s="468">
        <v>29593</v>
      </c>
      <c r="E10" s="239">
        <v>468.82</v>
      </c>
      <c r="F10" s="247">
        <v>234.41</v>
      </c>
      <c r="G10" s="202">
        <v>858.98</v>
      </c>
      <c r="H10" s="260">
        <v>429.49</v>
      </c>
    </row>
    <row r="11" spans="1:8">
      <c r="A11" s="239" t="s">
        <v>151</v>
      </c>
      <c r="B11" s="239" t="s">
        <v>152</v>
      </c>
      <c r="C11" s="247" t="s">
        <v>153</v>
      </c>
      <c r="D11" s="469" t="s">
        <v>154</v>
      </c>
      <c r="E11" s="239">
        <v>295.62</v>
      </c>
      <c r="F11" s="239">
        <v>147.83000000000001</v>
      </c>
      <c r="G11" s="202">
        <v>740.47</v>
      </c>
      <c r="H11" s="463">
        <v>370.24</v>
      </c>
    </row>
    <row r="12" spans="1:8" ht="12.75" thickBot="1">
      <c r="A12" s="251">
        <v>46123</v>
      </c>
      <c r="B12" s="251">
        <v>52670</v>
      </c>
      <c r="C12" s="252">
        <v>59217</v>
      </c>
      <c r="D12" s="470">
        <v>65764</v>
      </c>
      <c r="E12" s="253">
        <v>177.35</v>
      </c>
      <c r="F12" s="253">
        <v>88.68</v>
      </c>
      <c r="G12" s="207">
        <v>622</v>
      </c>
      <c r="H12" s="464">
        <v>311</v>
      </c>
    </row>
    <row r="13" spans="1:8" ht="12.75" thickTop="1">
      <c r="A13" s="215"/>
      <c r="B13" s="215"/>
      <c r="C13" s="215"/>
      <c r="D13" s="215"/>
      <c r="E13" s="215"/>
      <c r="F13" s="215"/>
      <c r="G13" s="215"/>
      <c r="H13" s="259"/>
    </row>
    <row r="14" spans="1:8">
      <c r="A14" s="217"/>
      <c r="B14" s="205"/>
      <c r="C14" s="205"/>
      <c r="D14" s="205"/>
      <c r="E14" s="205"/>
      <c r="F14" s="205"/>
      <c r="G14" s="202"/>
      <c r="H14" s="260"/>
    </row>
    <row r="15" spans="1:8">
      <c r="A15" s="488"/>
      <c r="B15" s="488"/>
      <c r="C15" s="488"/>
      <c r="D15" s="488"/>
      <c r="E15" s="488"/>
      <c r="F15" s="488"/>
      <c r="G15" s="202"/>
      <c r="H15" s="260"/>
    </row>
    <row r="16" spans="1:8">
      <c r="A16" s="204"/>
      <c r="B16" s="204"/>
      <c r="C16" s="204"/>
      <c r="D16" s="204"/>
      <c r="E16" s="204"/>
      <c r="F16" s="204"/>
      <c r="G16" s="202"/>
      <c r="H16" s="260"/>
    </row>
    <row r="17" spans="1:8">
      <c r="A17" s="204"/>
      <c r="B17" s="204"/>
      <c r="C17" s="204"/>
      <c r="D17" s="204"/>
      <c r="E17" s="204"/>
      <c r="F17" s="204"/>
      <c r="G17" s="202"/>
      <c r="H17" s="260"/>
    </row>
    <row r="18" spans="1:8">
      <c r="A18" s="204"/>
      <c r="B18" s="204"/>
      <c r="C18" s="204"/>
      <c r="D18" s="204"/>
      <c r="E18" s="204"/>
      <c r="F18" s="204"/>
      <c r="G18" s="202"/>
      <c r="H18" s="260"/>
    </row>
    <row r="19" spans="1:8">
      <c r="A19" s="205"/>
      <c r="B19" s="205"/>
      <c r="C19" s="205"/>
      <c r="D19" s="205"/>
      <c r="E19" s="205"/>
      <c r="F19" s="205"/>
      <c r="G19" s="202"/>
      <c r="H19" s="260"/>
    </row>
    <row r="20" spans="1:8">
      <c r="A20" s="217" t="s">
        <v>146</v>
      </c>
      <c r="B20" s="205"/>
      <c r="C20" s="205"/>
      <c r="D20" s="205"/>
      <c r="E20" s="205"/>
      <c r="F20" s="205"/>
      <c r="G20" s="202"/>
      <c r="H20" s="260"/>
    </row>
    <row r="21" spans="1:8">
      <c r="A21" s="205" t="s">
        <v>29</v>
      </c>
      <c r="B21" s="205"/>
      <c r="C21" s="205"/>
      <c r="D21" s="202"/>
      <c r="E21" s="202"/>
      <c r="F21" s="205">
        <v>13500</v>
      </c>
      <c r="G21" s="202"/>
      <c r="H21" s="260"/>
    </row>
    <row r="22" spans="1:8">
      <c r="A22" s="205" t="s">
        <v>30</v>
      </c>
      <c r="B22" s="205"/>
      <c r="C22" s="205"/>
      <c r="D22" s="202"/>
      <c r="E22" s="202"/>
      <c r="F22" s="205">
        <v>15000</v>
      </c>
      <c r="G22" s="202"/>
      <c r="H22" s="260"/>
    </row>
    <row r="23" spans="1:8" ht="12.75" thickBot="1">
      <c r="A23" s="208" t="s">
        <v>38</v>
      </c>
      <c r="B23" s="208"/>
      <c r="C23" s="208">
        <v>20</v>
      </c>
      <c r="D23" s="207"/>
      <c r="E23" s="207"/>
      <c r="F23" s="208"/>
      <c r="G23" s="207"/>
      <c r="H23" s="261"/>
    </row>
    <row r="24" spans="1:8" ht="12.75" thickTop="1">
      <c r="A24" s="218"/>
      <c r="B24" s="218"/>
      <c r="C24" s="218"/>
      <c r="D24" s="218"/>
      <c r="E24" s="218"/>
      <c r="F24" s="218"/>
      <c r="G24" s="218"/>
      <c r="H24" s="262"/>
    </row>
    <row r="25" spans="1:8">
      <c r="A25" s="487" t="s">
        <v>13</v>
      </c>
      <c r="B25" s="487"/>
      <c r="C25" s="487"/>
      <c r="D25" s="487"/>
      <c r="E25" s="487"/>
      <c r="F25" s="487"/>
      <c r="G25" s="209"/>
      <c r="H25" s="263"/>
    </row>
    <row r="26" spans="1:8">
      <c r="A26" s="219"/>
      <c r="B26" s="219"/>
      <c r="C26" s="219"/>
      <c r="D26" s="219"/>
      <c r="E26" s="219"/>
      <c r="F26" s="219"/>
      <c r="G26" s="209"/>
      <c r="H26" s="263"/>
    </row>
    <row r="27" spans="1:8" s="2" customFormat="1">
      <c r="A27" s="210" t="s">
        <v>31</v>
      </c>
      <c r="B27" s="210"/>
      <c r="C27" s="220">
        <v>2300</v>
      </c>
      <c r="D27" s="210"/>
      <c r="E27" s="221"/>
      <c r="F27" s="209"/>
      <c r="G27" s="209"/>
      <c r="H27" s="263"/>
    </row>
    <row r="28" spans="1:8" s="2" customFormat="1">
      <c r="A28" s="210" t="s">
        <v>143</v>
      </c>
      <c r="B28" s="210"/>
      <c r="C28" s="220">
        <v>3.08</v>
      </c>
      <c r="D28" s="210"/>
      <c r="E28" s="222"/>
      <c r="F28" s="209"/>
      <c r="G28" s="209"/>
      <c r="H28" s="263"/>
    </row>
    <row r="29" spans="1:8" s="2" customFormat="1">
      <c r="A29" s="210" t="s">
        <v>14</v>
      </c>
      <c r="B29" s="210"/>
      <c r="C29" s="220">
        <v>22</v>
      </c>
      <c r="D29" s="209"/>
      <c r="E29" s="209"/>
      <c r="F29" s="209"/>
      <c r="G29" s="209"/>
      <c r="H29" s="263"/>
    </row>
    <row r="30" spans="1:8" s="2" customFormat="1">
      <c r="A30" s="210" t="s">
        <v>15</v>
      </c>
      <c r="B30" s="210"/>
      <c r="C30" s="220">
        <v>50.15</v>
      </c>
      <c r="D30" s="212"/>
      <c r="E30" s="211"/>
      <c r="F30" s="209"/>
      <c r="G30" s="209"/>
      <c r="H30" s="263"/>
    </row>
    <row r="31" spans="1:8" s="2" customFormat="1">
      <c r="A31" s="210" t="s">
        <v>140</v>
      </c>
      <c r="B31" s="210"/>
      <c r="C31" s="220">
        <v>39.119999999999997</v>
      </c>
      <c r="D31" s="209"/>
      <c r="E31" s="209"/>
      <c r="F31" s="209"/>
      <c r="G31" s="209"/>
      <c r="H31" s="263"/>
    </row>
    <row r="32" spans="1:8">
      <c r="A32" s="210"/>
      <c r="B32" s="210"/>
      <c r="C32" s="223"/>
      <c r="D32" s="209"/>
      <c r="E32" s="209"/>
      <c r="F32" s="209"/>
      <c r="G32" s="209"/>
      <c r="H32" s="263"/>
    </row>
    <row r="33" spans="1:8">
      <c r="A33" s="210" t="s">
        <v>16</v>
      </c>
      <c r="B33" s="210"/>
      <c r="C33" s="224">
        <v>10.029999999999999</v>
      </c>
      <c r="D33" s="209"/>
      <c r="E33" s="209"/>
      <c r="F33" s="209"/>
      <c r="G33" s="209"/>
      <c r="H33" s="263"/>
    </row>
    <row r="34" spans="1:8" ht="12.75" thickBot="1">
      <c r="A34" s="214" t="s">
        <v>144</v>
      </c>
      <c r="B34" s="214"/>
      <c r="C34" s="225">
        <v>10.4</v>
      </c>
      <c r="D34" s="213"/>
      <c r="E34" s="213"/>
      <c r="F34" s="213"/>
      <c r="G34" s="213"/>
      <c r="H34" s="264"/>
    </row>
    <row r="35" spans="1:8" ht="12.75" thickTop="1">
      <c r="A35" s="215"/>
      <c r="B35" s="215"/>
      <c r="C35" s="226"/>
      <c r="D35" s="216"/>
      <c r="E35" s="216"/>
      <c r="F35" s="216"/>
      <c r="G35" s="227"/>
      <c r="H35" s="265"/>
    </row>
    <row r="36" spans="1:8" ht="36">
      <c r="A36" s="228" t="s">
        <v>147</v>
      </c>
      <c r="B36" s="229" t="s">
        <v>105</v>
      </c>
      <c r="C36" s="229" t="s">
        <v>106</v>
      </c>
      <c r="D36" s="230" t="s">
        <v>36</v>
      </c>
      <c r="E36" s="230" t="s">
        <v>28</v>
      </c>
      <c r="F36" s="275" t="s">
        <v>145</v>
      </c>
      <c r="G36" s="231"/>
      <c r="H36" s="266"/>
    </row>
    <row r="37" spans="1:8">
      <c r="A37" s="203" t="s">
        <v>19</v>
      </c>
      <c r="B37" s="206">
        <v>42.86</v>
      </c>
      <c r="C37" s="206">
        <v>4.12</v>
      </c>
      <c r="D37" s="206">
        <v>6.0000000000000001E-3</v>
      </c>
      <c r="E37" s="206"/>
      <c r="F37" s="465">
        <v>687.3</v>
      </c>
      <c r="G37" s="202"/>
      <c r="H37" s="260"/>
    </row>
    <row r="38" spans="1:8">
      <c r="A38" s="203" t="s">
        <v>20</v>
      </c>
      <c r="B38" s="206">
        <v>35.72</v>
      </c>
      <c r="C38" s="206">
        <v>3.44</v>
      </c>
      <c r="D38" s="206">
        <v>5.0000000000000001E-3</v>
      </c>
      <c r="E38" s="206"/>
      <c r="F38" s="202"/>
      <c r="G38" s="202"/>
      <c r="H38" s="260"/>
    </row>
    <row r="39" spans="1:8">
      <c r="A39" s="203" t="s">
        <v>21</v>
      </c>
      <c r="B39" s="206">
        <v>28.58</v>
      </c>
      <c r="C39" s="206">
        <v>2.74</v>
      </c>
      <c r="D39" s="206">
        <v>4.0000000000000001E-3</v>
      </c>
      <c r="E39" s="206"/>
      <c r="F39" s="202"/>
      <c r="G39" s="202"/>
      <c r="H39" s="260"/>
    </row>
    <row r="40" spans="1:8">
      <c r="A40" s="203" t="s">
        <v>22</v>
      </c>
      <c r="B40" s="206">
        <v>21.44</v>
      </c>
      <c r="C40" s="206">
        <v>2.06</v>
      </c>
      <c r="D40" s="206">
        <v>3.0000000000000001E-3</v>
      </c>
      <c r="E40" s="206"/>
      <c r="F40" s="202"/>
      <c r="G40" s="202"/>
      <c r="H40" s="260"/>
    </row>
    <row r="41" spans="1:8">
      <c r="A41" s="231"/>
      <c r="B41" s="231"/>
      <c r="C41" s="231"/>
      <c r="D41" s="232"/>
      <c r="E41" s="231"/>
      <c r="F41" s="231"/>
      <c r="G41" s="231"/>
      <c r="H41" s="266"/>
    </row>
    <row r="42" spans="1:8">
      <c r="A42" s="233"/>
      <c r="B42" s="231"/>
      <c r="C42" s="231"/>
      <c r="D42" s="234"/>
      <c r="E42" s="231"/>
      <c r="F42" s="231"/>
      <c r="G42" s="231"/>
      <c r="H42" s="266"/>
    </row>
    <row r="43" spans="1:8" ht="12.75" thickBot="1">
      <c r="A43" s="267" t="s">
        <v>107</v>
      </c>
      <c r="B43" s="268"/>
      <c r="C43" s="269"/>
      <c r="D43" s="270"/>
      <c r="E43" s="269"/>
      <c r="F43" s="269"/>
      <c r="G43" s="269"/>
      <c r="H43" s="271"/>
    </row>
    <row r="44" spans="1:8" ht="12.75" thickTop="1">
      <c r="D44" s="3"/>
    </row>
    <row r="45" spans="1:8">
      <c r="D45" s="3"/>
    </row>
  </sheetData>
  <sheetProtection password="E32B" sheet="1" objects="1" scenarios="1"/>
  <mergeCells count="5">
    <mergeCell ref="A1:F1"/>
    <mergeCell ref="A25:F25"/>
    <mergeCell ref="A15:B15"/>
    <mergeCell ref="C15:D15"/>
    <mergeCell ref="E15:F15"/>
  </mergeCells>
  <phoneticPr fontId="16" type="noConversion"/>
  <pageMargins left="0.19685039370078741" right="0.39370078740157483" top="0.27559055118110237" bottom="0.27559055118110237" header="0.31496062992125984" footer="0.27559055118110237"/>
  <pageSetup paperSize="9" orientation="landscape" horizontalDpi="300" verticalDpi="300" r:id="rId1"/>
  <headerFooter alignWithMargins="0"/>
  <legacyDrawing r:id="rId2"/>
</worksheet>
</file>

<file path=xl/worksheets/sheet2.xml><?xml version="1.0" encoding="utf-8"?>
<worksheet xmlns="http://schemas.openxmlformats.org/spreadsheetml/2006/main" xmlns:r="http://schemas.openxmlformats.org/officeDocument/2006/relationships">
  <sheetPr codeName="Feuil2"/>
  <dimension ref="A1:O90"/>
  <sheetViews>
    <sheetView showOutlineSymbols="0" defaultGridColor="0" colorId="8" workbookViewId="0">
      <selection activeCell="E36" sqref="E36"/>
    </sheetView>
  </sheetViews>
  <sheetFormatPr baseColWidth="10" defaultRowHeight="11.25"/>
  <cols>
    <col min="1" max="1" width="2.5703125" style="7" customWidth="1"/>
    <col min="2" max="2" width="19.85546875" style="7" customWidth="1"/>
    <col min="3" max="3" width="12.140625" style="7" customWidth="1"/>
    <col min="4" max="4" width="13.85546875" style="7" customWidth="1"/>
    <col min="5" max="6" width="9.7109375" style="7" customWidth="1"/>
    <col min="7" max="7" width="1.28515625" style="7" customWidth="1"/>
    <col min="8" max="9" width="9.42578125" style="7" customWidth="1"/>
    <col min="10" max="10" width="0.85546875" style="7" customWidth="1"/>
    <col min="11" max="11" width="10.7109375" style="7" customWidth="1"/>
    <col min="12" max="12" width="3.28515625" style="7" customWidth="1"/>
    <col min="13" max="13" width="17.7109375" style="7" customWidth="1"/>
    <col min="14" max="16384" width="11.42578125" style="7"/>
  </cols>
  <sheetData>
    <row r="1" spans="1:15">
      <c r="E1" s="23"/>
    </row>
    <row r="2" spans="1:15">
      <c r="B2" s="58" t="s">
        <v>56</v>
      </c>
      <c r="C2" s="60"/>
      <c r="D2" s="60"/>
      <c r="E2" s="59"/>
      <c r="F2" s="4"/>
      <c r="G2" s="4"/>
      <c r="H2" s="4" t="s">
        <v>60</v>
      </c>
      <c r="I2" s="4"/>
      <c r="J2" s="4"/>
      <c r="K2" s="5"/>
      <c r="L2" s="6"/>
    </row>
    <row r="3" spans="1:15">
      <c r="B3" s="61" t="s">
        <v>62</v>
      </c>
      <c r="C3" s="62"/>
      <c r="D3" s="62"/>
      <c r="E3" s="135">
        <f>Simulateur!D2</f>
        <v>1</v>
      </c>
      <c r="F3" s="9" t="s">
        <v>51</v>
      </c>
      <c r="G3" s="4"/>
      <c r="H3" s="8" t="s">
        <v>66</v>
      </c>
      <c r="I3" s="4"/>
      <c r="J3" s="4"/>
      <c r="K3" s="5"/>
      <c r="L3" s="6"/>
    </row>
    <row r="4" spans="1:15">
      <c r="B4" s="131" t="s">
        <v>63</v>
      </c>
      <c r="C4" s="132"/>
      <c r="D4" s="132"/>
      <c r="E4" s="136" t="str">
        <f>Simulateur!D3</f>
        <v>oui</v>
      </c>
      <c r="F4" s="9" t="s">
        <v>52</v>
      </c>
      <c r="G4" s="4"/>
      <c r="H4" s="10" t="s">
        <v>50</v>
      </c>
      <c r="I4" s="10"/>
      <c r="J4" s="10"/>
      <c r="K4" s="5"/>
      <c r="L4" s="6"/>
    </row>
    <row r="5" spans="1:15">
      <c r="B5" s="494" t="s">
        <v>64</v>
      </c>
      <c r="C5" s="495"/>
      <c r="D5" s="495"/>
      <c r="E5" s="136" t="str">
        <f>Simulateur!D4</f>
        <v>oui</v>
      </c>
      <c r="F5" s="9"/>
      <c r="G5" s="4"/>
      <c r="H5" s="45"/>
      <c r="I5" s="10"/>
      <c r="J5" s="10"/>
      <c r="K5" s="5"/>
      <c r="L5" s="6"/>
    </row>
    <row r="6" spans="1:15">
      <c r="B6" s="490" t="s">
        <v>80</v>
      </c>
      <c r="C6" s="491"/>
      <c r="D6" s="492"/>
      <c r="E6" s="136">
        <f>Simulateur!D5</f>
        <v>50132</v>
      </c>
      <c r="F6" s="12"/>
      <c r="G6" s="12"/>
      <c r="J6" s="13"/>
      <c r="K6" s="6"/>
      <c r="L6" s="6"/>
    </row>
    <row r="7" spans="1:15">
      <c r="B7" s="490" t="s">
        <v>79</v>
      </c>
      <c r="C7" s="491"/>
      <c r="D7" s="492"/>
      <c r="E7" s="136">
        <f>Simulateur!D6</f>
        <v>45576</v>
      </c>
      <c r="F7" s="63"/>
      <c r="G7" s="6"/>
      <c r="J7" s="19"/>
      <c r="K7" s="46"/>
      <c r="N7" s="489"/>
      <c r="O7" s="489"/>
    </row>
    <row r="8" spans="1:15">
      <c r="B8" s="133" t="s">
        <v>65</v>
      </c>
      <c r="C8" s="134"/>
      <c r="D8" s="134"/>
      <c r="E8" s="136" t="str">
        <f>Simulateur!D7</f>
        <v>oui</v>
      </c>
      <c r="F8" s="12"/>
      <c r="G8" s="12"/>
      <c r="J8" s="13"/>
      <c r="K8" s="6"/>
      <c r="N8" s="489"/>
      <c r="O8" s="489"/>
    </row>
    <row r="9" spans="1:15">
      <c r="B9" s="494" t="s">
        <v>45</v>
      </c>
      <c r="C9" s="495"/>
      <c r="D9" s="495"/>
      <c r="E9" s="136">
        <f>Simulateur!D8</f>
        <v>4000</v>
      </c>
      <c r="F9" s="6"/>
      <c r="G9" s="6"/>
      <c r="J9" s="6"/>
      <c r="K9" s="6"/>
      <c r="N9" s="489"/>
      <c r="O9" s="489"/>
    </row>
    <row r="10" spans="1:15">
      <c r="B10" s="137" t="s">
        <v>69</v>
      </c>
      <c r="C10" s="138"/>
      <c r="D10" s="138"/>
      <c r="E10" s="136" t="e">
        <f>Simulateur!#REF!</f>
        <v>#REF!</v>
      </c>
      <c r="F10" s="139"/>
      <c r="G10" s="140"/>
      <c r="H10" s="140"/>
      <c r="I10" s="140"/>
      <c r="J10" s="140"/>
      <c r="K10" s="140"/>
      <c r="N10" s="489"/>
      <c r="O10" s="489"/>
    </row>
    <row r="11" spans="1:15">
      <c r="A11" s="18"/>
      <c r="B11" s="64"/>
      <c r="C11" s="16"/>
      <c r="D11" s="16"/>
      <c r="E11" s="17"/>
      <c r="F11" s="17"/>
      <c r="G11" s="17"/>
      <c r="H11" s="15"/>
      <c r="I11" s="15"/>
      <c r="J11" s="15"/>
      <c r="K11" s="15"/>
      <c r="M11" s="122"/>
    </row>
    <row r="12" spans="1:15" s="18" customFormat="1" ht="22.5">
      <c r="B12" s="65"/>
      <c r="C12" s="20"/>
      <c r="D12" s="20"/>
      <c r="E12" s="496" t="s">
        <v>23</v>
      </c>
      <c r="F12" s="496"/>
      <c r="G12" s="14"/>
      <c r="H12" s="493" t="s">
        <v>68</v>
      </c>
      <c r="I12" s="493"/>
      <c r="J12" s="19"/>
      <c r="K12" s="21" t="s">
        <v>49</v>
      </c>
      <c r="M12" s="5"/>
    </row>
    <row r="13" spans="1:15" s="18" customFormat="1" ht="22.5">
      <c r="A13" s="7"/>
      <c r="B13" s="65"/>
      <c r="C13" s="20"/>
      <c r="D13" s="20"/>
      <c r="E13" s="22" t="s">
        <v>47</v>
      </c>
      <c r="F13" s="22" t="s">
        <v>46</v>
      </c>
      <c r="G13" s="21"/>
      <c r="H13" s="22" t="s">
        <v>54</v>
      </c>
      <c r="I13" s="22" t="s">
        <v>55</v>
      </c>
      <c r="J13" s="21"/>
      <c r="K13" s="48" t="s">
        <v>48</v>
      </c>
    </row>
    <row r="14" spans="1:15">
      <c r="B14" s="66" t="s">
        <v>53</v>
      </c>
      <c r="C14" s="12"/>
      <c r="D14" s="12"/>
      <c r="E14" s="42">
        <v>9.5299999999999994</v>
      </c>
      <c r="F14" s="42">
        <f>Simulateur!E12</f>
        <v>20</v>
      </c>
      <c r="G14" s="51"/>
      <c r="H14" s="42">
        <v>5.42</v>
      </c>
      <c r="I14" s="42">
        <v>48.8</v>
      </c>
      <c r="J14" s="67"/>
      <c r="K14" s="19"/>
    </row>
    <row r="15" spans="1:15">
      <c r="B15" s="141" t="s">
        <v>17</v>
      </c>
      <c r="C15" s="142"/>
      <c r="D15" s="142"/>
      <c r="E15" s="143"/>
      <c r="F15" s="143"/>
      <c r="G15" s="24"/>
      <c r="H15" s="42">
        <f>Simulateur!G13</f>
        <v>22</v>
      </c>
      <c r="I15" s="42">
        <f>Simulateur!H13</f>
        <v>22</v>
      </c>
      <c r="J15" s="68"/>
      <c r="K15" s="69">
        <f>Simulateur!J13</f>
        <v>5</v>
      </c>
    </row>
    <row r="16" spans="1:15">
      <c r="B16" s="141" t="s">
        <v>0</v>
      </c>
      <c r="C16" s="142"/>
      <c r="D16" s="142"/>
      <c r="E16" s="144">
        <v>174</v>
      </c>
      <c r="F16" s="144">
        <f>Simulateur!E14</f>
        <v>0</v>
      </c>
      <c r="G16" s="24"/>
      <c r="H16" s="24"/>
      <c r="I16" s="70"/>
      <c r="J16" s="19"/>
      <c r="K16" s="19"/>
    </row>
    <row r="17" spans="2:14">
      <c r="B17" s="141" t="s">
        <v>1</v>
      </c>
      <c r="C17" s="142"/>
      <c r="D17" s="142"/>
      <c r="E17" s="144"/>
      <c r="F17" s="144">
        <f>Simulateur!E15</f>
        <v>0</v>
      </c>
      <c r="G17" s="24"/>
      <c r="H17" s="24"/>
      <c r="I17" s="70"/>
      <c r="J17" s="19"/>
      <c r="K17" s="19"/>
    </row>
    <row r="18" spans="2:14">
      <c r="B18" s="117" t="s">
        <v>44</v>
      </c>
      <c r="C18" s="106"/>
      <c r="D18" s="106"/>
      <c r="E18" s="144">
        <f>Simulateur!D17</f>
        <v>0</v>
      </c>
      <c r="F18" s="24"/>
      <c r="G18" s="24"/>
      <c r="H18" s="24"/>
      <c r="I18" s="70"/>
      <c r="J18" s="19"/>
      <c r="K18" s="19"/>
    </row>
    <row r="19" spans="2:14">
      <c r="B19" s="71" t="s">
        <v>2</v>
      </c>
      <c r="C19" s="72"/>
      <c r="D19" s="72"/>
      <c r="E19" s="26">
        <f>E14*E16+E17*E14*125%+E18</f>
        <v>1658.22</v>
      </c>
      <c r="F19" s="26">
        <f>F14*F16+F17*F14*125%</f>
        <v>0</v>
      </c>
      <c r="G19" s="27"/>
      <c r="H19" s="73">
        <f>H14*H15</f>
        <v>119.24</v>
      </c>
      <c r="I19" s="73">
        <f>I14*I15</f>
        <v>1073.5999999999999</v>
      </c>
      <c r="J19" s="74"/>
      <c r="K19" s="70"/>
    </row>
    <row r="20" spans="2:14">
      <c r="B20" s="56" t="s">
        <v>57</v>
      </c>
      <c r="C20" s="55"/>
      <c r="D20" s="55"/>
      <c r="E20" s="25"/>
      <c r="F20" s="24"/>
      <c r="G20" s="24"/>
      <c r="H20" s="43">
        <f>Simulateur!G19</f>
        <v>0</v>
      </c>
      <c r="I20" s="43">
        <f>Simulateur!H19</f>
        <v>3.01</v>
      </c>
      <c r="J20" s="74"/>
      <c r="K20" s="70"/>
    </row>
    <row r="21" spans="2:14">
      <c r="B21" s="61"/>
      <c r="C21" s="12"/>
      <c r="D21" s="12"/>
      <c r="E21" s="28"/>
      <c r="F21" s="28"/>
      <c r="G21" s="24"/>
      <c r="H21" s="75">
        <f>H14*H15*Feuil2!E27</f>
        <v>0</v>
      </c>
      <c r="I21" s="75">
        <f>I14*I15*Feuil2!E27</f>
        <v>0</v>
      </c>
      <c r="J21" s="76"/>
      <c r="K21" s="70"/>
      <c r="N21" s="7">
        <f>7.24*174</f>
        <v>1259.76</v>
      </c>
    </row>
    <row r="22" spans="2:14">
      <c r="B22" s="61"/>
      <c r="C22" s="12"/>
      <c r="D22" s="12"/>
      <c r="E22" s="77"/>
      <c r="F22" s="28"/>
      <c r="G22" s="24"/>
      <c r="H22" s="28"/>
      <c r="I22" s="75"/>
      <c r="J22" s="76"/>
      <c r="K22" s="76"/>
      <c r="N22" s="7">
        <f>7.24*10*125%</f>
        <v>90.5</v>
      </c>
    </row>
    <row r="23" spans="2:14">
      <c r="B23" s="61"/>
      <c r="C23" s="12"/>
      <c r="D23" s="12"/>
      <c r="E23" s="28"/>
      <c r="F23" s="28"/>
      <c r="G23" s="24"/>
      <c r="H23" s="75"/>
      <c r="I23" s="75"/>
      <c r="J23" s="76"/>
      <c r="K23" s="70"/>
      <c r="L23" s="23"/>
      <c r="N23" s="7">
        <f>SUM(N21:N22)</f>
        <v>1350.26</v>
      </c>
    </row>
    <row r="24" spans="2:14">
      <c r="B24" s="61" t="s">
        <v>3</v>
      </c>
      <c r="C24" s="12"/>
      <c r="D24" s="12"/>
      <c r="E24" s="28">
        <f>E19*Feuil2!B4%</f>
        <v>0</v>
      </c>
      <c r="F24" s="28"/>
      <c r="G24" s="24"/>
      <c r="H24" s="75">
        <f>H19*Feuil2!$E$27</f>
        <v>0</v>
      </c>
      <c r="I24" s="75">
        <f>I19*Feuil2!$E$27</f>
        <v>0</v>
      </c>
      <c r="J24" s="76"/>
      <c r="K24" s="70"/>
    </row>
    <row r="25" spans="2:14" ht="15">
      <c r="B25" s="56" t="s">
        <v>4</v>
      </c>
      <c r="C25" s="55"/>
      <c r="D25" s="55"/>
      <c r="E25" s="29">
        <f>E19*Feuil2!B5%</f>
        <v>0</v>
      </c>
      <c r="F25" s="28"/>
      <c r="G25" s="24"/>
      <c r="H25" s="78">
        <f>H14*H15*Feuil2!E28</f>
        <v>0</v>
      </c>
      <c r="I25" s="78">
        <f>I14*I15*Feuil2!E28</f>
        <v>0</v>
      </c>
      <c r="J25" s="76"/>
      <c r="K25" s="70"/>
      <c r="N25"/>
    </row>
    <row r="26" spans="2:14" ht="15">
      <c r="B26" s="56" t="s">
        <v>25</v>
      </c>
      <c r="C26" s="55"/>
      <c r="D26" s="55"/>
      <c r="E26" s="128">
        <f>E19*Feuil2!B6%</f>
        <v>0</v>
      </c>
      <c r="F26" s="24"/>
      <c r="G26" s="24"/>
      <c r="H26" s="80">
        <f>H21+H25</f>
        <v>0</v>
      </c>
      <c r="I26" s="79">
        <f>I21+I25</f>
        <v>0</v>
      </c>
      <c r="J26" s="79"/>
      <c r="K26" s="19"/>
      <c r="M26" s="47"/>
      <c r="N26"/>
    </row>
    <row r="27" spans="2:14" ht="15">
      <c r="B27" s="81"/>
      <c r="C27" s="82"/>
      <c r="D27" s="82"/>
      <c r="E27" s="30"/>
      <c r="F27" s="28"/>
      <c r="G27" s="24"/>
      <c r="H27" s="28"/>
      <c r="I27" s="83"/>
      <c r="J27" s="79"/>
      <c r="K27" s="19"/>
      <c r="N27"/>
    </row>
    <row r="28" spans="2:14" ht="15">
      <c r="B28" s="84" t="s">
        <v>78</v>
      </c>
      <c r="C28" s="85"/>
      <c r="D28" s="85"/>
      <c r="E28" s="31">
        <f>E19-E24</f>
        <v>1658.22</v>
      </c>
      <c r="F28" s="32"/>
      <c r="G28" s="27"/>
      <c r="H28" s="86">
        <f>H19-H21+(H20*H15)</f>
        <v>119.24</v>
      </c>
      <c r="I28" s="86">
        <f>I19-I21+(I20*I15)</f>
        <v>1139.82</v>
      </c>
      <c r="J28" s="76"/>
      <c r="K28" s="70"/>
      <c r="N28"/>
    </row>
    <row r="29" spans="2:14" ht="15">
      <c r="B29" s="84"/>
      <c r="C29" s="85"/>
      <c r="D29" s="85"/>
      <c r="E29" s="32"/>
      <c r="F29" s="32"/>
      <c r="G29" s="27"/>
      <c r="H29" s="129"/>
      <c r="I29" s="129"/>
      <c r="J29" s="87"/>
      <c r="K29" s="70"/>
      <c r="N29"/>
    </row>
    <row r="30" spans="2:14" ht="15">
      <c r="B30" s="61" t="s">
        <v>12</v>
      </c>
      <c r="C30" s="12"/>
      <c r="D30" s="12"/>
      <c r="E30" s="42">
        <f>Simulateur!D29</f>
        <v>0</v>
      </c>
      <c r="F30" s="24"/>
      <c r="G30" s="24"/>
      <c r="H30" s="24"/>
      <c r="I30" s="70"/>
      <c r="J30" s="87"/>
      <c r="K30" s="70"/>
      <c r="N30"/>
    </row>
    <row r="31" spans="2:14" ht="15">
      <c r="B31" s="71" t="s">
        <v>5</v>
      </c>
      <c r="C31" s="88"/>
      <c r="D31" s="88"/>
      <c r="E31" s="26">
        <f>E28+E30</f>
        <v>1658.22</v>
      </c>
      <c r="F31" s="27"/>
      <c r="G31" s="27"/>
      <c r="H31" s="89">
        <f>H28</f>
        <v>119.24</v>
      </c>
      <c r="I31" s="89">
        <f>I28</f>
        <v>1139.82</v>
      </c>
      <c r="J31" s="19"/>
      <c r="K31" s="70"/>
      <c r="N31" t="e">
        <f>1-(-E47/E26)</f>
        <v>#DIV/0!</v>
      </c>
    </row>
    <row r="32" spans="2:14" ht="15">
      <c r="B32" s="57" t="s">
        <v>40</v>
      </c>
      <c r="C32" s="11"/>
      <c r="D32" s="11"/>
      <c r="E32" s="33">
        <f>E31+E26</f>
        <v>1658.22</v>
      </c>
      <c r="F32" s="28"/>
      <c r="G32" s="24"/>
      <c r="H32" s="90">
        <f>H31+H26</f>
        <v>119.24</v>
      </c>
      <c r="I32" s="90">
        <f>I31+I26</f>
        <v>1139.82</v>
      </c>
      <c r="J32" s="87"/>
      <c r="K32" s="70"/>
      <c r="N32" t="e">
        <f>N31*E39</f>
        <v>#DIV/0!</v>
      </c>
    </row>
    <row r="33" spans="2:14" ht="15">
      <c r="B33" s="61"/>
      <c r="C33" s="12"/>
      <c r="D33" s="12"/>
      <c r="E33" s="28"/>
      <c r="F33" s="28"/>
      <c r="G33" s="24"/>
      <c r="H33" s="98"/>
      <c r="I33" s="98"/>
      <c r="J33" s="87"/>
      <c r="K33" s="70"/>
      <c r="N33"/>
    </row>
    <row r="34" spans="2:14" ht="15">
      <c r="B34" s="61" t="s">
        <v>88</v>
      </c>
      <c r="C34" s="12"/>
      <c r="D34" s="12"/>
      <c r="E34" s="28">
        <f>Simulateur!D14*90%+Simulateur!D15</f>
        <v>96.3</v>
      </c>
      <c r="F34" s="28"/>
      <c r="G34" s="24"/>
      <c r="H34" s="98"/>
      <c r="I34" s="98"/>
      <c r="J34" s="87"/>
      <c r="K34" s="70"/>
      <c r="N34"/>
    </row>
    <row r="35" spans="2:14" ht="15">
      <c r="B35" s="61"/>
      <c r="C35" s="12"/>
      <c r="D35" s="12"/>
      <c r="E35" s="28">
        <f>ROUNDUP(E34,0)*2</f>
        <v>194</v>
      </c>
      <c r="F35" s="28"/>
      <c r="G35" s="24"/>
      <c r="H35" s="98"/>
      <c r="I35" s="98"/>
      <c r="J35" s="87"/>
      <c r="K35" s="70"/>
      <c r="N35"/>
    </row>
    <row r="36" spans="2:14" ht="15">
      <c r="B36" s="61" t="s">
        <v>89</v>
      </c>
      <c r="C36" s="12"/>
      <c r="D36" s="12"/>
      <c r="E36" s="28">
        <f>Simulateur!D18*30.69%*(1-((-Simulateur!D33/(Simulateur!D31-Simulateur!D30))))</f>
        <v>174.75</v>
      </c>
      <c r="F36" s="28"/>
      <c r="G36" s="24"/>
      <c r="H36" s="98"/>
      <c r="I36" s="98"/>
      <c r="J36" s="87"/>
      <c r="K36" s="70"/>
      <c r="M36" s="7">
        <f>E19*12.8%</f>
        <v>212.25216</v>
      </c>
      <c r="N36"/>
    </row>
    <row r="37" spans="2:14" ht="15">
      <c r="B37" s="61" t="s">
        <v>90</v>
      </c>
      <c r="C37" s="12"/>
      <c r="D37" s="12"/>
      <c r="E37" s="28">
        <f>IF(E35&gt;E36,E36,E35)</f>
        <v>174.75</v>
      </c>
      <c r="F37" s="28"/>
      <c r="G37" s="24"/>
      <c r="H37" s="98"/>
      <c r="I37" s="98">
        <f>(174+34)*90%</f>
        <v>187.2</v>
      </c>
      <c r="J37" s="87"/>
      <c r="K37" s="70"/>
      <c r="M37" s="7" t="e">
        <f>-E47/E26</f>
        <v>#DIV/0!</v>
      </c>
      <c r="N37"/>
    </row>
    <row r="38" spans="2:14" ht="15">
      <c r="B38" s="61"/>
      <c r="C38" s="12"/>
      <c r="D38" s="12"/>
      <c r="E38" s="28"/>
      <c r="F38" s="28"/>
      <c r="G38" s="24"/>
      <c r="H38" s="98"/>
      <c r="I38" s="98">
        <f>187*0.75</f>
        <v>140.25</v>
      </c>
      <c r="J38" s="87"/>
      <c r="K38" s="70"/>
      <c r="M38" s="7" t="e">
        <f>M36*M37</f>
        <v>#DIV/0!</v>
      </c>
      <c r="N38"/>
    </row>
    <row r="39" spans="2:14" ht="15">
      <c r="B39" s="61"/>
      <c r="C39" s="12"/>
      <c r="D39" s="12"/>
      <c r="E39" s="28">
        <f>Simulateur!D18*30.69%</f>
        <v>349.5</v>
      </c>
      <c r="F39" s="28"/>
      <c r="G39" s="24"/>
      <c r="H39" s="98"/>
      <c r="I39" s="98"/>
      <c r="J39" s="87"/>
      <c r="K39" s="70"/>
      <c r="N39"/>
    </row>
    <row r="40" spans="2:14" ht="15">
      <c r="B40" s="61"/>
      <c r="C40" s="12"/>
      <c r="D40" s="12"/>
      <c r="E40" s="28">
        <v>181</v>
      </c>
      <c r="F40" s="28"/>
      <c r="G40" s="24"/>
      <c r="H40" s="98"/>
      <c r="I40" s="98"/>
      <c r="J40" s="87"/>
      <c r="K40" s="70"/>
      <c r="N40"/>
    </row>
    <row r="41" spans="2:14" ht="15">
      <c r="B41" s="61"/>
      <c r="C41" s="12"/>
      <c r="D41" s="12"/>
      <c r="E41" s="28"/>
      <c r="F41" s="28"/>
      <c r="G41" s="24"/>
      <c r="H41" s="98"/>
      <c r="I41" s="98">
        <v>94.01</v>
      </c>
      <c r="J41" s="87"/>
      <c r="K41" s="70"/>
      <c r="N41"/>
    </row>
    <row r="42" spans="2:14" ht="15">
      <c r="B42" s="160" t="s">
        <v>91</v>
      </c>
      <c r="C42" s="12"/>
      <c r="D42" s="12"/>
      <c r="E42" s="28"/>
      <c r="F42" s="28"/>
      <c r="G42" s="24"/>
      <c r="H42" s="98"/>
      <c r="I42" s="98"/>
      <c r="J42" s="87"/>
      <c r="K42" s="70"/>
      <c r="N42"/>
    </row>
    <row r="43" spans="2:14" ht="15">
      <c r="B43" s="61"/>
      <c r="C43" s="12"/>
      <c r="D43" s="12"/>
      <c r="E43" s="28"/>
      <c r="F43" s="28"/>
      <c r="G43" s="24"/>
      <c r="H43" s="98"/>
      <c r="I43" s="98"/>
      <c r="J43" s="87"/>
      <c r="K43" s="70"/>
      <c r="N43"/>
    </row>
    <row r="44" spans="2:14" ht="15">
      <c r="B44" s="61"/>
      <c r="C44" s="12"/>
      <c r="D44" s="12"/>
      <c r="E44" s="28"/>
      <c r="F44" s="28"/>
      <c r="G44" s="24"/>
      <c r="H44" s="98"/>
      <c r="I44" s="98"/>
      <c r="J44" s="87"/>
      <c r="K44" s="70"/>
      <c r="N44"/>
    </row>
    <row r="45" spans="2:14" ht="15">
      <c r="B45" s="61"/>
      <c r="C45" s="12"/>
      <c r="D45" s="12"/>
      <c r="E45" s="28"/>
      <c r="F45" s="28"/>
      <c r="G45" s="24"/>
      <c r="H45" s="98"/>
      <c r="I45" s="98"/>
      <c r="J45" s="87"/>
      <c r="K45" s="70"/>
      <c r="N45"/>
    </row>
    <row r="46" spans="2:14" ht="15">
      <c r="B46" s="92" t="s">
        <v>6</v>
      </c>
      <c r="C46" s="62"/>
      <c r="D46" s="62"/>
      <c r="E46" s="32"/>
      <c r="F46" s="32"/>
      <c r="G46" s="27"/>
      <c r="H46" s="32"/>
      <c r="I46" s="70"/>
      <c r="J46" s="91"/>
      <c r="K46" s="70"/>
      <c r="N46"/>
    </row>
    <row r="47" spans="2:14" ht="15">
      <c r="B47" s="93" t="s">
        <v>71</v>
      </c>
      <c r="C47" s="94"/>
      <c r="D47" s="95"/>
      <c r="E47" s="34">
        <f>IF(E4="oui",IF(Feuil2!C7&gt;E26*50%,-E26*50%,-Feuil2!C7),IF(Feuil2!E7&gt;E26*50%,-E26*50%,-Feuil2!E7))</f>
        <v>0</v>
      </c>
      <c r="F47" s="34"/>
      <c r="G47" s="52"/>
      <c r="H47" s="96">
        <f>IF(H14&lt;=Feuil2!C30,-H26,0)</f>
        <v>0</v>
      </c>
      <c r="I47" s="96">
        <f>IF(I14&lt;=Feuil2!C30,-I26,0)</f>
        <v>0</v>
      </c>
      <c r="J47" s="19"/>
      <c r="K47" s="70"/>
      <c r="N47"/>
    </row>
    <row r="48" spans="2:14" ht="15">
      <c r="B48" s="56"/>
      <c r="C48" s="55"/>
      <c r="D48" s="55"/>
      <c r="E48" s="35">
        <f>IF(AND($E$3=1,$E$4="oui"),IF($E$7&lt;Feuil2!$A$10,Feuil2!$E$10,IF($E$7&gt;Feuil2!$A$12,Feuil2!$E$12,Feuil2!$E$11)),0)</f>
        <v>295.62</v>
      </c>
      <c r="F48" s="35">
        <f>IF(AND(E3=1,E4="oui"),IF(E7&lt;Feuil2!A10,Feuil2!G10,IF(E7&gt;Feuil2!A12,Feuil2!G12,Feuil2!G11)),0)</f>
        <v>740.47</v>
      </c>
      <c r="G48" s="37"/>
      <c r="H48" s="35">
        <f>IF(AND($E$3=1,$E$4="oui"),IF($E$7&lt;Feuil2!$A$10,Feuil2!$E$10,IF($E$7&gt;Feuil2!$A$12,Feuil2!$E$12,Feuil2!$E$11)),0)</f>
        <v>295.62</v>
      </c>
      <c r="I48" s="35">
        <f>IF(AND($E$3=1,$E$4="oui"),IF($E$7&lt;Feuil2!$A$10,Feuil2!$E$10,IF($E$7&gt;Feuil2!$A$12,Feuil2!$E$12,Feuil2!$E$11)),0)</f>
        <v>295.62</v>
      </c>
      <c r="J48" s="97"/>
      <c r="K48" s="98"/>
      <c r="N48"/>
    </row>
    <row r="49" spans="2:14" ht="15">
      <c r="B49" s="56"/>
      <c r="C49" s="55"/>
      <c r="D49" s="55"/>
      <c r="E49" s="35">
        <f>IF(AND($E$3=1,$E$4="non"),IF($E$7&lt;Feuil2!$A$10,Feuil2!$F$10,IF($E$7&gt;Feuil2!$A$12,Feuil2!$F$12,Feuil2!$F$11)),0)</f>
        <v>0</v>
      </c>
      <c r="F49" s="35">
        <f>IF(AND(E3=1,E4="non"),IF(E7&lt;Feuil2!A10,Feuil2!H10,IF(E7&gt;Feuil2!A12,Feuil2!H12,Feuil2!H11)),0)</f>
        <v>0</v>
      </c>
      <c r="G49" s="37"/>
      <c r="H49" s="35">
        <f>IF(AND($E$3=1,$E$4="non"),IF($E$7&lt;Feuil2!$A$10,Feuil2!$F$10,IF($E$7&gt;Feuil2!$A$12,Feuil2!$F$12,Feuil2!$F$11)),0)</f>
        <v>0</v>
      </c>
      <c r="I49" s="35">
        <f>IF(AND($E$3=1,$E$4="non"),IF($E$7&lt;Feuil2!$A$10,Feuil2!$F$10,IF($E$7&gt;Feuil2!$A$12,Feuil2!$F$12,Feuil2!$F$11)),0)</f>
        <v>0</v>
      </c>
      <c r="J49" s="97"/>
      <c r="K49" s="98"/>
      <c r="N49"/>
    </row>
    <row r="50" spans="2:14" ht="15">
      <c r="B50" s="56"/>
      <c r="C50" s="55"/>
      <c r="D50" s="55"/>
      <c r="E50" s="35">
        <f>IF(AND($E$3=2,$E$4="oui"),IF($E$7&lt;Feuil2!$B$10,Feuil2!$E$10,IF($E$7&gt;Feuil2!$B$12,Feuil2!$E$12,Feuil2!$E$11)),0)</f>
        <v>0</v>
      </c>
      <c r="F50" s="35">
        <f>IF(AND(E3=2,E4="oui"),IF(E7&lt;Feuil2!B10,Feuil2!G10,IF(E7&gt;Feuil2!B12,Feuil2!G12,Feuil2!G11)),0)</f>
        <v>0</v>
      </c>
      <c r="G50" s="37"/>
      <c r="H50" s="35">
        <f>IF(AND($E$3=2,$E$4="oui"),IF($E$7&lt;Feuil2!$B$10,Feuil2!$E$10,IF($E$7&gt;Feuil2!$B$12,Feuil2!$E$12,Feuil2!$E$11)),0)</f>
        <v>0</v>
      </c>
      <c r="I50" s="35">
        <f>IF(AND($E$3=2,$E$4="oui"),IF($E$7&lt;Feuil2!$B$10,Feuil2!$E$10,IF($E$7&gt;Feuil2!$B$12,Feuil2!$E$12,Feuil2!$E$11)),0)</f>
        <v>0</v>
      </c>
      <c r="J50" s="97"/>
      <c r="K50" s="98"/>
      <c r="N50"/>
    </row>
    <row r="51" spans="2:14" ht="15">
      <c r="B51" s="56"/>
      <c r="C51" s="55"/>
      <c r="D51" s="55"/>
      <c r="E51" s="35">
        <f>IF(AND($E$3=2,$E$4="non"),IF($E$7&lt;Feuil2!$B$10,Feuil2!$F$10,IF($E$7&gt;Feuil2!$B$12,Feuil2!$F$12,Feuil2!$F$11)),0)</f>
        <v>0</v>
      </c>
      <c r="F51" s="35">
        <f>IF(AND(E3=2,E4="non"),IF(E7&lt;Feuil2!B10,Feuil2!H10,IF(E7&gt;Feuil2!B12,Feuil2!H12,Feuil2!H11)),0)</f>
        <v>0</v>
      </c>
      <c r="G51" s="37"/>
      <c r="H51" s="35">
        <f>IF(AND($E$3=2,$E$4="non"),IF($E$7&lt;Feuil2!$B$10,Feuil2!$F$10,IF($E$7&gt;Feuil2!$B$12,Feuil2!$F$12,Feuil2!$F$11)),0)</f>
        <v>0</v>
      </c>
      <c r="I51" s="35">
        <f>IF(AND($E$3=2,$E$4="non"),IF($E$7&lt;Feuil2!$B$10,Feuil2!$F$10,IF($E$7&gt;Feuil2!$B$12,Feuil2!$F$12,Feuil2!$F$11)),0)</f>
        <v>0</v>
      </c>
      <c r="J51" s="97"/>
      <c r="K51" s="98"/>
      <c r="N51"/>
    </row>
    <row r="52" spans="2:14" ht="15">
      <c r="B52" s="56"/>
      <c r="C52" s="55"/>
      <c r="D52" s="55"/>
      <c r="E52" s="35">
        <f>IF(AND($E$3=3,$E$4="oui"),IF($E$7&lt;Feuil2!$C$10,Feuil2!$E$10,IF($E$7&gt;Feuil2!$C$12,Feuil2!$E$12,Feuil2!$E$11)),0)</f>
        <v>0</v>
      </c>
      <c r="F52" s="35">
        <f>IF(AND(E3=3,E4="oui"),IF(E7&lt;Feuil2!C10,Feuil2!G10,IF(E7&gt;Feuil2!C12,Feuil2!G12,Feuil2!G11)),0)</f>
        <v>0</v>
      </c>
      <c r="G52" s="37"/>
      <c r="H52" s="35">
        <f>IF(AND($E$3=3,$E$4="oui"),IF($E$7&lt;Feuil2!$C$10,Feuil2!$E$10,IF($E$7&gt;Feuil2!$C$12,Feuil2!$E$12,Feuil2!$E$11)),0)</f>
        <v>0</v>
      </c>
      <c r="I52" s="35">
        <f>IF(AND($E$3=3,$E$4="oui"),IF($E$7&lt;Feuil2!$C$10,Feuil2!$E$10,IF($E$7&gt;Feuil2!$C$12,Feuil2!$E$12,Feuil2!$E$11)),0)</f>
        <v>0</v>
      </c>
      <c r="J52" s="97"/>
      <c r="K52" s="98"/>
      <c r="N52"/>
    </row>
    <row r="53" spans="2:14" ht="15">
      <c r="B53" s="56"/>
      <c r="C53" s="55"/>
      <c r="D53" s="55"/>
      <c r="E53" s="35">
        <f>IF(AND($E$3=3,$E$4="non"),IF($E$7&lt;Feuil2!$C$10,Feuil2!$F$10,IF($E$7&gt;Feuil2!$C$12,Feuil2!$F$12,Feuil2!$F$11)),0)</f>
        <v>0</v>
      </c>
      <c r="F53" s="35">
        <f>IF(AND(E3=3,E4="non"),IF(E7&lt;Feuil2!C10,Feuil2!H10,IF(E7&gt;Feuil2!C12,Feuil2!H12,Feuil2!H11)),0)</f>
        <v>0</v>
      </c>
      <c r="G53" s="37"/>
      <c r="H53" s="35">
        <f>IF(AND($E$3=3,$E$4="non"),IF($E$7&lt;Feuil2!$C$10,Feuil2!$F$10,IF($E$7&gt;Feuil2!$C$12,Feuil2!$F$12,Feuil2!$F$11)),0)</f>
        <v>0</v>
      </c>
      <c r="I53" s="35">
        <f>IF(AND($E$3=3,$E$4="non"),IF($E$7&lt;Feuil2!$C$10,Feuil2!$F$10,IF($E$7&gt;Feuil2!$C$12,Feuil2!$F$12,Feuil2!$F$11)),0)</f>
        <v>0</v>
      </c>
      <c r="J53" s="97"/>
      <c r="K53" s="98"/>
      <c r="N53"/>
    </row>
    <row r="54" spans="2:14" ht="15">
      <c r="B54" s="56"/>
      <c r="C54" s="55"/>
      <c r="D54" s="55"/>
      <c r="E54" s="35">
        <f>IF(AND($E$3&gt;=4,$E$4="oui"),IF($E$7&lt;Feuil2!$D$10,Feuil2!$E$10,IF($E$7&gt;Feuil2!$D$12,Feuil2!$E$12,Feuil2!$E$11)),0)</f>
        <v>0</v>
      </c>
      <c r="F54" s="35">
        <f>IF(AND($E$3&gt;=4,$E$4="oui"),IF($E$7&lt;Feuil2!$D$10,Feuil2!$G$10,IF($E$7&gt;Feuil2!$D$12,Feuil2!$G$12,Feuil2!$G$11)),0)</f>
        <v>0</v>
      </c>
      <c r="G54" s="37"/>
      <c r="H54" s="35">
        <f>IF(AND($E$3&gt;=4,$E$4="oui"),IF($E$7&lt;Feuil2!$D$10,Feuil2!$E$10,IF($E$7&gt;Feuil2!$D$12,Feuil2!$E$12,Feuil2!$E$11)),0)</f>
        <v>0</v>
      </c>
      <c r="I54" s="35">
        <f>IF(AND($E$3&gt;=4,$E$4="oui"),IF($E$7&lt;Feuil2!$D$10,Feuil2!$E$10,IF($E$7&gt;Feuil2!$D$12,Feuil2!$E$12,Feuil2!$E$11)),0)</f>
        <v>0</v>
      </c>
      <c r="J54" s="97"/>
      <c r="K54" s="98"/>
      <c r="N54"/>
    </row>
    <row r="55" spans="2:14" ht="15">
      <c r="B55" s="56"/>
      <c r="C55" s="55"/>
      <c r="D55" s="55"/>
      <c r="E55" s="35">
        <f>IF(AND($E$3&gt;=4,$E$4="NON"),IF($E$7&lt;Feuil2!$D$10,Feuil2!$F$10,IF($E$7&gt;Feuil2!$D$12,Feuil2!$F$12,Feuil2!$F$11)),0)</f>
        <v>0</v>
      </c>
      <c r="F55" s="35">
        <f>IF(AND($E$3&gt;=4,$E$4="NON"),IF($E$7&lt;Feuil2!$D$10,Feuil2!$H$10,IF($E$7&gt;Feuil2!$D$12,Feuil2!$H$12,Feuil2!$H$11)),0)</f>
        <v>0</v>
      </c>
      <c r="G55" s="37"/>
      <c r="H55" s="35">
        <f>IF(AND($E$3&gt;=4,$E$4="NON"),IF($E$7&lt;Feuil2!$D$10,Feuil2!$F$10,IF($E$7&gt;Feuil2!$D$12,Feuil2!$F$12,Feuil2!$F$11)),0)</f>
        <v>0</v>
      </c>
      <c r="I55" s="35">
        <f>IF(AND($E$3&gt;=4,$E$4="NON"),IF($E$7&lt;Feuil2!$D$10,Feuil2!$F$10,IF($E$7&gt;Feuil2!$D$12,Feuil2!$F$12,Feuil2!$F$11)),0)</f>
        <v>0</v>
      </c>
      <c r="J55" s="97"/>
      <c r="K55" s="98"/>
      <c r="N55"/>
    </row>
    <row r="56" spans="2:14" ht="15">
      <c r="B56" s="56"/>
      <c r="C56" s="55"/>
      <c r="D56" s="55"/>
      <c r="E56" s="35"/>
      <c r="F56" s="35">
        <f>IF( F16&gt;=16,(F48+F49+F50+F51+F52+F53+F54+F55),0)</f>
        <v>0</v>
      </c>
      <c r="G56" s="37"/>
      <c r="H56" s="35"/>
      <c r="I56" s="99"/>
      <c r="J56" s="97"/>
      <c r="K56" s="98"/>
      <c r="N56"/>
    </row>
    <row r="57" spans="2:14" ht="15">
      <c r="C57" s="55"/>
      <c r="D57" s="55"/>
      <c r="G57" s="97"/>
      <c r="H57" s="99">
        <f>IF(H28*85%&lt;(H48+H49+H50+H51+H52+H53+H54+H55),-H28*85%,-(H48+H49+H50+H51+H52+H53+H54+H55))</f>
        <v>-101.35</v>
      </c>
      <c r="I57" s="99">
        <f>IF(I28*85%&lt;(I48+I49+I50+I51+I52+I53+I54+I55),-I28*85%,-(I48+I49+I50+I51+I52+I53+I54+I55))</f>
        <v>-295.62</v>
      </c>
      <c r="J57" s="97"/>
      <c r="K57" s="98"/>
      <c r="N57"/>
    </row>
    <row r="58" spans="2:14" ht="15">
      <c r="B58" s="56" t="s">
        <v>8</v>
      </c>
      <c r="C58" s="12"/>
      <c r="D58" s="12"/>
      <c r="E58" s="99">
        <f>IF(E28*85%&lt;(E48+E49+E50+E51+E52+E53+E54+E55),-E28*85%,-(E48+E49+E50+E51+E52+E53+E54+E55))</f>
        <v>-295.62</v>
      </c>
      <c r="F58" s="99">
        <f>IF(F19*85%&lt;F56,-F19*85%,-F56)</f>
        <v>0</v>
      </c>
      <c r="G58" s="97"/>
      <c r="H58" s="96">
        <f>IF(H14&lt;=Feuil2!C30,H57,0)</f>
        <v>-101.35</v>
      </c>
      <c r="I58" s="96">
        <f>IF(I14&lt;=Feuil2!C30,I57,0)</f>
        <v>-295.62</v>
      </c>
      <c r="J58" s="97"/>
      <c r="K58" s="98"/>
      <c r="N58"/>
    </row>
    <row r="59" spans="2:14" ht="15">
      <c r="B59" s="61"/>
      <c r="C59" s="12"/>
      <c r="D59" s="12"/>
      <c r="E59" s="36">
        <f>IF((E3=1),IF(E6/12&lt;=Feuil2!A16,Feuil2!B16,IF(E6/12&gt;Feuil2!A18,Feuil2!B18,Feuil2!B17)),0)</f>
        <v>0</v>
      </c>
      <c r="F59" s="36">
        <f>IF((E3=1),IF(E6/12&lt;=Feuil2!A16,Feuil2!B16,IF(E6/12&gt;Feuil2!A18,Feuil2!B18,Feuil2!B17)),0)</f>
        <v>0</v>
      </c>
      <c r="G59" s="37"/>
      <c r="H59" s="36"/>
      <c r="I59" s="96"/>
      <c r="J59" s="97"/>
      <c r="K59" s="98"/>
      <c r="N59"/>
    </row>
    <row r="60" spans="2:14" ht="15">
      <c r="B60" s="61"/>
      <c r="C60" s="12"/>
      <c r="D60" s="12"/>
      <c r="E60" s="36">
        <f>IF((E3=2),IF(E6/12&lt;=Feuil2!C16,Feuil2!D16,IF(E6/12&gt;Feuil2!C18,Feuil2!D18,Feuil2!D17)),0)</f>
        <v>0</v>
      </c>
      <c r="F60" s="36">
        <f>IF((E3=2),IF(E6/12&lt;=Feuil2!C16,Feuil2!D16,IF(E6/12&gt;Feuil2!C18,Feuil2!D18,Feuil2!D17)),0)</f>
        <v>0</v>
      </c>
      <c r="G60" s="37"/>
      <c r="H60" s="36"/>
      <c r="I60" s="99"/>
      <c r="J60" s="97"/>
      <c r="K60" s="98"/>
      <c r="N60"/>
    </row>
    <row r="61" spans="2:14" ht="15">
      <c r="B61" s="61"/>
      <c r="C61" s="12"/>
      <c r="D61" s="12"/>
      <c r="E61" s="36">
        <f>IF((E3&gt;=3),IF(E6/12&lt;=Feuil2!E16,Feuil2!F16,0),0)</f>
        <v>0</v>
      </c>
      <c r="F61" s="36">
        <f>IF(($E$3&gt;=3),IF(E6/12&lt;=Feuil2!E16,Feuil2!F16,0),0)</f>
        <v>0</v>
      </c>
      <c r="G61" s="37"/>
      <c r="H61" s="36"/>
      <c r="I61" s="35"/>
      <c r="J61" s="97"/>
      <c r="K61" s="98"/>
      <c r="N61"/>
    </row>
    <row r="62" spans="2:14" ht="15">
      <c r="B62" s="56"/>
      <c r="C62" s="55"/>
      <c r="D62" s="55"/>
      <c r="E62" s="36">
        <f>SUM(E59:E61)</f>
        <v>0</v>
      </c>
      <c r="F62" s="36">
        <f>SUM(F59:F61)</f>
        <v>0</v>
      </c>
      <c r="G62" s="37"/>
      <c r="H62" s="36"/>
      <c r="I62" s="99"/>
      <c r="J62" s="37"/>
      <c r="K62" s="70"/>
      <c r="N62"/>
    </row>
    <row r="63" spans="2:14" ht="15">
      <c r="B63" s="61"/>
      <c r="C63" s="55"/>
      <c r="D63" s="55"/>
      <c r="E63" s="35"/>
      <c r="F63" s="35"/>
      <c r="G63" s="37"/>
      <c r="H63" s="36"/>
      <c r="I63" s="100"/>
      <c r="J63" s="97"/>
      <c r="K63" s="70"/>
      <c r="N63"/>
    </row>
    <row r="64" spans="2:14" ht="15">
      <c r="B64" s="102"/>
      <c r="C64" s="55"/>
      <c r="D64" s="103"/>
      <c r="E64" s="38">
        <f>IF(E5="non",IF((E16+E17)&lt;120,0,-E62),IF((E16+E17)&lt;60,0,-E62/2))</f>
        <v>0</v>
      </c>
      <c r="F64" s="38">
        <f>IF(E5="non",IF((F16+F17)&lt;120,0,-F62),IF((F16+F17)&lt;60,0,-F62/2))</f>
        <v>0</v>
      </c>
      <c r="G64" s="52"/>
      <c r="H64" s="39"/>
      <c r="I64" s="100"/>
      <c r="J64" s="101"/>
      <c r="K64" s="70"/>
      <c r="N64"/>
    </row>
    <row r="65" spans="2:14" ht="15">
      <c r="B65" s="61"/>
      <c r="C65" s="12"/>
      <c r="D65" s="104"/>
      <c r="E65" s="39" t="e">
        <f>IF(E10="oui",E64,0)</f>
        <v>#REF!</v>
      </c>
      <c r="F65" s="39" t="e">
        <f>IF(E10="oui",F64,0)</f>
        <v>#REF!</v>
      </c>
      <c r="G65" s="52"/>
      <c r="H65" s="39"/>
      <c r="I65" s="100"/>
      <c r="J65" s="101"/>
      <c r="K65" s="70"/>
      <c r="N65"/>
    </row>
    <row r="66" spans="2:14" ht="15">
      <c r="B66" s="102" t="s">
        <v>58</v>
      </c>
      <c r="C66" s="11"/>
      <c r="D66" s="105"/>
      <c r="E66" s="34" t="e">
        <f>IF(E4="oui",E65,0)</f>
        <v>#REF!</v>
      </c>
      <c r="F66" s="34" t="e">
        <f>IF(E4="oui",F65,0)</f>
        <v>#REF!</v>
      </c>
      <c r="G66" s="52"/>
      <c r="H66" s="39"/>
      <c r="I66" s="100"/>
      <c r="J66" s="101"/>
      <c r="K66" s="70"/>
      <c r="N66"/>
    </row>
    <row r="67" spans="2:14" ht="15">
      <c r="B67" s="61"/>
      <c r="C67" s="106"/>
      <c r="D67" s="107"/>
      <c r="E67" s="40"/>
      <c r="F67" s="40"/>
      <c r="G67" s="27"/>
      <c r="H67" s="40"/>
      <c r="I67" s="108"/>
      <c r="J67" s="101"/>
      <c r="K67" s="109">
        <f>IF((E3=1),IF(E6/12*Feuil2!D37&gt;Feuil2!B37,Feuil2!B37*K15,IF(E6/12*Feuil2!D37&lt;Feuil2!C37,Feuil2!C37*K15,E7/12*Feuil2!D37*K15)),0)</f>
        <v>113.94</v>
      </c>
      <c r="N67"/>
    </row>
    <row r="68" spans="2:14" ht="15">
      <c r="B68" s="110"/>
      <c r="C68" s="106"/>
      <c r="D68" s="107"/>
      <c r="E68" s="40"/>
      <c r="F68" s="40"/>
      <c r="G68" s="27"/>
      <c r="H68" s="40"/>
      <c r="I68" s="108"/>
      <c r="J68" s="19"/>
      <c r="K68" s="109">
        <f>IF((E3=2),IF(E6/12*Feuil2!D38&gt;Feuil2!B38,Feuil2!B38*K15,IF(E6/12*Feuil2!D38&lt;Feuil2!C38,Feuil2!C38*K15,E7/12*Feuil2!D38*K15)),0)</f>
        <v>0</v>
      </c>
      <c r="N68"/>
    </row>
    <row r="69" spans="2:14">
      <c r="B69" s="110"/>
      <c r="C69" s="106"/>
      <c r="D69" s="107"/>
      <c r="E69" s="40"/>
      <c r="F69" s="40"/>
      <c r="G69" s="27"/>
      <c r="H69" s="40"/>
      <c r="I69" s="108"/>
      <c r="J69" s="19"/>
      <c r="K69" s="109">
        <f>IF((E3=3),IF(E6/12*Feuil2!D39&gt;Feuil2!B39,Feuil2!B39*K15,IF(E6/12*Feuil2!D39&lt;Feuil2!C39,Feuil2!C39*K15,E7/12*Feuil2!D39*K15)),0)</f>
        <v>0</v>
      </c>
    </row>
    <row r="70" spans="2:14">
      <c r="B70" s="110"/>
      <c r="C70" s="106"/>
      <c r="D70" s="107"/>
      <c r="E70" s="40"/>
      <c r="F70" s="40"/>
      <c r="G70" s="27"/>
      <c r="H70" s="40"/>
      <c r="I70" s="108"/>
      <c r="J70" s="19"/>
      <c r="K70" s="109">
        <f>IF((E3&gt;3),IF(E6/12*Feuil2!D40&gt;Feuil2!B40,Feuil2!B40*K15,IF(E6/12*Feuil2!D40&lt;Feuil2!C40,Feuil2!C40*K15,E7/12*Feuil2!D40*K15)),0)</f>
        <v>0</v>
      </c>
    </row>
    <row r="71" spans="2:14">
      <c r="B71" s="110" t="s">
        <v>18</v>
      </c>
      <c r="C71" s="106"/>
      <c r="D71" s="107"/>
      <c r="E71" s="40"/>
      <c r="F71" s="40"/>
      <c r="G71" s="27"/>
      <c r="H71" s="40"/>
      <c r="I71" s="108"/>
      <c r="J71" s="19"/>
      <c r="K71" s="111">
        <f>SUM(K67:K70)</f>
        <v>113.94</v>
      </c>
    </row>
    <row r="72" spans="2:14">
      <c r="B72" s="112" t="s">
        <v>41</v>
      </c>
      <c r="C72" s="113"/>
      <c r="D72" s="88"/>
      <c r="E72" s="26" t="e">
        <f>E32+E47+E58+E66+D84</f>
        <v>#REF!</v>
      </c>
      <c r="F72" s="26">
        <f>F19+F58+F64</f>
        <v>0</v>
      </c>
      <c r="G72" s="27"/>
      <c r="H72" s="26">
        <f>H32+H47+H57</f>
        <v>17.89</v>
      </c>
      <c r="I72" s="26">
        <f>I32+I47+I57</f>
        <v>844.2</v>
      </c>
      <c r="J72" s="19"/>
      <c r="K72" s="114">
        <f>K71</f>
        <v>113.94</v>
      </c>
    </row>
    <row r="73" spans="2:14">
      <c r="B73" s="61" t="s">
        <v>59</v>
      </c>
      <c r="C73" s="12"/>
      <c r="D73" s="12"/>
      <c r="E73" s="44">
        <f>Simulateur!D59</f>
        <v>0</v>
      </c>
      <c r="F73" s="44">
        <f>Simulateur!E59</f>
        <v>0</v>
      </c>
      <c r="G73" s="41"/>
      <c r="H73" s="41"/>
      <c r="I73" s="70"/>
      <c r="J73" s="87"/>
      <c r="K73" s="70"/>
    </row>
    <row r="74" spans="2:14">
      <c r="B74" s="71" t="s">
        <v>33</v>
      </c>
      <c r="C74" s="72"/>
      <c r="D74" s="72"/>
      <c r="E74" s="26" t="e">
        <f>E72*12+E73*12-E30</f>
        <v>#REF!</v>
      </c>
      <c r="F74" s="26">
        <f>F72*12+F73</f>
        <v>0</v>
      </c>
      <c r="G74" s="27"/>
      <c r="H74" s="114">
        <f>H72*12-H20*H15</f>
        <v>214.68</v>
      </c>
      <c r="I74" s="114">
        <f>I72*12-I20*I15</f>
        <v>10064.18</v>
      </c>
      <c r="J74" s="19"/>
      <c r="K74" s="114">
        <f>K72*11</f>
        <v>1253.3399999999999</v>
      </c>
    </row>
    <row r="75" spans="2:14">
      <c r="B75" s="66"/>
      <c r="C75" s="12"/>
      <c r="D75" s="12"/>
      <c r="E75" s="32"/>
      <c r="F75" s="32"/>
      <c r="G75" s="27"/>
      <c r="H75" s="116">
        <f>H74-((H20-2.65)*H15*11)</f>
        <v>855.98</v>
      </c>
      <c r="I75" s="116">
        <f>I74-((I20-2.65)*I15*11)</f>
        <v>9977.06</v>
      </c>
      <c r="J75" s="115"/>
      <c r="K75" s="116"/>
    </row>
    <row r="76" spans="2:14">
      <c r="B76" s="117" t="s">
        <v>7</v>
      </c>
      <c r="C76" s="106"/>
      <c r="D76" s="106"/>
      <c r="E76" s="50">
        <f>E9</f>
        <v>4000</v>
      </c>
      <c r="F76" s="50">
        <f>E9</f>
        <v>4000</v>
      </c>
      <c r="G76" s="24"/>
      <c r="H76" s="50">
        <f>E9</f>
        <v>4000</v>
      </c>
      <c r="I76" s="50">
        <f>E9</f>
        <v>4000</v>
      </c>
      <c r="J76" s="115"/>
      <c r="K76" s="50">
        <f>E9</f>
        <v>4000</v>
      </c>
    </row>
    <row r="77" spans="2:14">
      <c r="B77" s="57" t="s">
        <v>32</v>
      </c>
      <c r="C77" s="11"/>
      <c r="D77" s="11"/>
      <c r="E77" s="49" t="e">
        <f>IF((E3=1),IF(E74&gt;Feuil2!F21,-Feuil2!F21/2,-(E74-11*E30)/2),IF((E74-11*E30)&gt;Feuil2!F22,-Feuil2!F22/2,-(E74-11*E30)/2))</f>
        <v>#REF!</v>
      </c>
      <c r="F77" s="49">
        <f>IF((E3=1),IF(F74&gt;Feuil2!F21,-Feuil2!F21/2,-F74/2),IF(F74&gt;Feuil2!F22,-Feuil2!F22/2,-F74/2))</f>
        <v>0</v>
      </c>
      <c r="G77" s="37"/>
      <c r="H77" s="118">
        <f>IF(H75&gt;Feuil2!C27,-(Feuil2!C27)/2,-H75/2)</f>
        <v>-427.99</v>
      </c>
      <c r="I77" s="118">
        <f>IF(I75&gt;Feuil2!C27,-(Feuil2!C27)/2,-I75/2)</f>
        <v>-1150</v>
      </c>
      <c r="J77" s="24"/>
      <c r="K77" s="118">
        <f>IF(K74&gt;Feuil2!C27,-(Feuil2!C27)/2,-K74/2)</f>
        <v>-626.66999999999996</v>
      </c>
    </row>
    <row r="78" spans="2:14">
      <c r="B78" s="61"/>
      <c r="C78" s="55"/>
      <c r="D78" s="55"/>
      <c r="E78" s="35" t="e">
        <f>IF(-E77&gt;E76,E76,-E77)</f>
        <v>#REF!</v>
      </c>
      <c r="F78" s="35">
        <f>IF(-F77&gt;F76,F76,-F77)</f>
        <v>0</v>
      </c>
      <c r="G78" s="37"/>
      <c r="H78" s="36"/>
      <c r="I78" s="36"/>
      <c r="J78" s="119"/>
      <c r="K78" s="36"/>
    </row>
    <row r="79" spans="2:14">
      <c r="B79" s="102" t="s">
        <v>42</v>
      </c>
      <c r="C79" s="12"/>
      <c r="D79" s="12"/>
      <c r="E79" s="36" t="e">
        <f>-E78</f>
        <v>#REF!</v>
      </c>
      <c r="F79" s="36">
        <f>-F78</f>
        <v>0</v>
      </c>
      <c r="G79" s="37"/>
      <c r="H79" s="36"/>
      <c r="I79" s="36"/>
      <c r="J79" s="37"/>
      <c r="K79" s="36"/>
    </row>
    <row r="80" spans="2:14">
      <c r="B80" s="81" t="s">
        <v>67</v>
      </c>
      <c r="C80" s="12"/>
      <c r="D80" s="12"/>
      <c r="E80" s="36" t="e">
        <f>IF(E8="oui",E77,E79)</f>
        <v>#REF!</v>
      </c>
      <c r="F80" s="36">
        <f>IF(E8="oui",F77,F79)</f>
        <v>0</v>
      </c>
      <c r="G80" s="37"/>
      <c r="H80" s="36">
        <f>H77</f>
        <v>-427.99</v>
      </c>
      <c r="I80" s="36">
        <f>I77</f>
        <v>-1150</v>
      </c>
      <c r="J80" s="37"/>
      <c r="K80" s="36">
        <f>K77</f>
        <v>-626.66999999999996</v>
      </c>
    </row>
    <row r="81" spans="2:11">
      <c r="B81" s="84" t="s">
        <v>39</v>
      </c>
      <c r="C81" s="85"/>
      <c r="D81" s="85"/>
      <c r="E81" s="31" t="e">
        <f>E74+E80</f>
        <v>#REF!</v>
      </c>
      <c r="F81" s="31">
        <f>F74+F80</f>
        <v>0</v>
      </c>
      <c r="G81" s="27"/>
      <c r="H81" s="31">
        <f>H74+H77</f>
        <v>-213.31</v>
      </c>
      <c r="I81" s="31">
        <f>I74+I77</f>
        <v>8914.18</v>
      </c>
      <c r="J81" s="36">
        <f>J78</f>
        <v>0</v>
      </c>
      <c r="K81" s="31">
        <f>K74+K77</f>
        <v>626.66999999999996</v>
      </c>
    </row>
    <row r="82" spans="2:11" ht="13.5" thickBot="1">
      <c r="B82" s="120" t="s">
        <v>43</v>
      </c>
      <c r="C82" s="121"/>
      <c r="D82" s="121"/>
      <c r="E82" s="54" t="e">
        <f>E81/12</f>
        <v>#REF!</v>
      </c>
      <c r="F82" s="54">
        <f>F81/12</f>
        <v>0</v>
      </c>
      <c r="G82" s="53"/>
      <c r="H82" s="54">
        <f>H81/12</f>
        <v>-17.78</v>
      </c>
      <c r="I82" s="54">
        <f>I81/12</f>
        <v>742.85</v>
      </c>
      <c r="J82" s="27"/>
      <c r="K82" s="54">
        <f>K81/12</f>
        <v>52.22</v>
      </c>
    </row>
    <row r="83" spans="2:11" ht="12.75">
      <c r="B83" s="122"/>
      <c r="D83" s="122"/>
      <c r="E83" s="122"/>
      <c r="F83" s="32"/>
      <c r="G83" s="32"/>
      <c r="H83" s="5"/>
      <c r="I83" s="5"/>
      <c r="J83" s="53"/>
      <c r="K83" s="6"/>
    </row>
    <row r="84" spans="2:11">
      <c r="B84" s="124" t="s">
        <v>72</v>
      </c>
      <c r="D84" s="125">
        <f>-E37</f>
        <v>-174.75</v>
      </c>
      <c r="E84" s="7" t="s">
        <v>74</v>
      </c>
      <c r="F84" s="5"/>
      <c r="G84" s="5"/>
      <c r="H84" s="6"/>
      <c r="I84" s="6"/>
      <c r="J84" s="14"/>
      <c r="K84" s="123" t="s">
        <v>109</v>
      </c>
    </row>
    <row r="85" spans="2:11">
      <c r="B85" s="7" t="s">
        <v>73</v>
      </c>
      <c r="J85" s="19"/>
    </row>
    <row r="86" spans="2:11">
      <c r="B86" s="124" t="s">
        <v>75</v>
      </c>
      <c r="D86" s="126">
        <f>I26+I47</f>
        <v>0</v>
      </c>
      <c r="E86" s="7" t="s">
        <v>76</v>
      </c>
    </row>
    <row r="87" spans="2:11">
      <c r="B87" s="124" t="s">
        <v>75</v>
      </c>
      <c r="D87" s="127">
        <f>H26+H47</f>
        <v>0</v>
      </c>
      <c r="E87" s="7" t="s">
        <v>77</v>
      </c>
    </row>
    <row r="89" spans="2:11" ht="12.75">
      <c r="B89" s="130" t="s">
        <v>82</v>
      </c>
    </row>
    <row r="90" spans="2:11" ht="12.75">
      <c r="B90" s="145" t="s">
        <v>108</v>
      </c>
    </row>
  </sheetData>
  <sheetProtection password="E32B" sheet="1" objects="1" scenarios="1"/>
  <mergeCells count="7">
    <mergeCell ref="N7:O10"/>
    <mergeCell ref="B6:D6"/>
    <mergeCell ref="H12:I12"/>
    <mergeCell ref="B5:D5"/>
    <mergeCell ref="B9:D9"/>
    <mergeCell ref="B7:D7"/>
    <mergeCell ref="E12:F12"/>
  </mergeCells>
  <phoneticPr fontId="16" type="noConversion"/>
  <printOptions horizontalCentered="1"/>
  <pageMargins left="0.25" right="0.27" top="0.43307086614173229" bottom="0.55118110236220474" header="0.43307086614173229" footer="0.51181102362204722"/>
  <pageSetup paperSize="9" orientation="portrait" horizontalDpi="300" verticalDpi="300" r:id="rId1"/>
  <headerFooter alignWithMargins="0"/>
  <ignoredErrors>
    <ignoredError sqref="F3:F4" numberStoredAsText="1"/>
    <ignoredError sqref="E3:E10" unlockedFormula="1"/>
  </ignoredErrors>
  <legacyDrawing r:id="rId2"/>
</worksheet>
</file>

<file path=xl/worksheets/sheet3.xml><?xml version="1.0" encoding="utf-8"?>
<worksheet xmlns="http://schemas.openxmlformats.org/spreadsheetml/2006/main" xmlns:r="http://schemas.openxmlformats.org/officeDocument/2006/relationships">
  <dimension ref="A1:P74"/>
  <sheetViews>
    <sheetView showGridLines="0" showRowColHeaders="0" tabSelected="1" zoomScale="115" zoomScaleNormal="115" workbookViewId="0">
      <selection activeCell="H71" sqref="H71"/>
    </sheetView>
  </sheetViews>
  <sheetFormatPr baseColWidth="10" defaultRowHeight="11.25"/>
  <cols>
    <col min="1" max="1" width="57.140625" style="7" customWidth="1"/>
    <col min="2" max="2" width="2.85546875" style="7" customWidth="1"/>
    <col min="3" max="3" width="11.28515625" style="7" customWidth="1"/>
    <col min="4" max="5" width="15.7109375" style="7" customWidth="1"/>
    <col min="6" max="6" width="2.85546875" style="7" customWidth="1"/>
    <col min="7" max="7" width="15.5703125" style="7" customWidth="1"/>
    <col min="8" max="8" width="13.5703125" style="7" customWidth="1"/>
    <col min="9" max="9" width="2.5703125" style="7" customWidth="1"/>
    <col min="10" max="10" width="15.140625" style="7" customWidth="1"/>
    <col min="11" max="11" width="22.85546875" style="7" customWidth="1"/>
    <col min="12" max="16384" width="11.42578125" style="7"/>
  </cols>
  <sheetData>
    <row r="1" spans="1:16" ht="20.100000000000001" customHeight="1">
      <c r="A1" s="168" t="s">
        <v>56</v>
      </c>
      <c r="B1" s="169"/>
      <c r="C1" s="169"/>
      <c r="D1" s="170"/>
      <c r="E1" s="167"/>
      <c r="F1" s="167"/>
      <c r="G1" s="497"/>
      <c r="H1" s="497"/>
      <c r="I1" s="497"/>
      <c r="J1" s="497"/>
      <c r="K1" s="6"/>
      <c r="N1" s="4"/>
    </row>
    <row r="2" spans="1:16">
      <c r="A2" s="425" t="s">
        <v>62</v>
      </c>
      <c r="B2" s="147"/>
      <c r="C2" s="147"/>
      <c r="D2" s="254">
        <v>1</v>
      </c>
      <c r="E2" s="471" t="s">
        <v>133</v>
      </c>
      <c r="F2" s="442"/>
      <c r="J2" s="5"/>
      <c r="K2" s="6"/>
      <c r="N2" s="10"/>
    </row>
    <row r="3" spans="1:16">
      <c r="A3" s="171" t="s">
        <v>63</v>
      </c>
      <c r="B3" s="146"/>
      <c r="C3" s="146"/>
      <c r="D3" s="255" t="s">
        <v>61</v>
      </c>
      <c r="E3" s="498" t="s">
        <v>149</v>
      </c>
      <c r="F3" s="499"/>
      <c r="J3" s="5"/>
      <c r="K3" s="6"/>
    </row>
    <row r="4" spans="1:16">
      <c r="A4" s="503" t="s">
        <v>64</v>
      </c>
      <c r="B4" s="504"/>
      <c r="C4" s="504"/>
      <c r="D4" s="255" t="s">
        <v>61</v>
      </c>
      <c r="E4" s="9"/>
      <c r="F4" s="9"/>
      <c r="G4" s="45"/>
      <c r="H4" s="10"/>
      <c r="I4" s="10"/>
      <c r="J4" s="5"/>
      <c r="K4" s="70"/>
      <c r="L4" s="23"/>
    </row>
    <row r="5" spans="1:16" ht="11.25" customHeight="1">
      <c r="A5" s="503" t="s">
        <v>150</v>
      </c>
      <c r="B5" s="504"/>
      <c r="C5" s="504"/>
      <c r="D5" s="256">
        <v>50132</v>
      </c>
      <c r="E5" s="12"/>
      <c r="F5" s="12"/>
      <c r="G5" s="308"/>
      <c r="J5" s="6"/>
      <c r="K5" s="70"/>
      <c r="L5" s="23"/>
    </row>
    <row r="6" spans="1:16" ht="11.25" customHeight="1">
      <c r="A6" s="503" t="s">
        <v>83</v>
      </c>
      <c r="B6" s="504"/>
      <c r="C6" s="504"/>
      <c r="D6" s="256">
        <v>45576</v>
      </c>
      <c r="E6" s="9"/>
      <c r="F6" s="9"/>
      <c r="G6" s="310"/>
      <c r="H6" s="310"/>
      <c r="I6" s="310"/>
      <c r="J6" s="310"/>
      <c r="K6" s="413"/>
      <c r="L6" s="413"/>
    </row>
    <row r="7" spans="1:16" ht="11.25" customHeight="1">
      <c r="A7" s="171" t="s">
        <v>65</v>
      </c>
      <c r="B7" s="166"/>
      <c r="C7" s="166"/>
      <c r="D7" s="255" t="s">
        <v>61</v>
      </c>
      <c r="E7" s="12"/>
      <c r="F7" s="12"/>
      <c r="G7" s="310"/>
      <c r="H7" s="310"/>
      <c r="I7" s="310"/>
      <c r="J7" s="6"/>
      <c r="K7" s="414"/>
      <c r="L7" s="414"/>
    </row>
    <row r="8" spans="1:16" ht="11.25" customHeight="1">
      <c r="A8" s="503" t="s">
        <v>45</v>
      </c>
      <c r="B8" s="504"/>
      <c r="C8" s="504"/>
      <c r="D8" s="256">
        <v>4000</v>
      </c>
      <c r="E8" s="6"/>
      <c r="F8" s="6"/>
      <c r="G8" s="309"/>
      <c r="J8" s="6"/>
      <c r="K8" s="23"/>
      <c r="L8" s="23"/>
    </row>
    <row r="9" spans="1:16" ht="12" thickBot="1">
      <c r="A9" s="155"/>
      <c r="B9" s="155"/>
      <c r="C9" s="155"/>
      <c r="D9" s="154"/>
      <c r="E9" s="156"/>
      <c r="F9" s="156"/>
      <c r="G9" s="155"/>
      <c r="H9" s="70"/>
      <c r="I9" s="70"/>
      <c r="J9" s="70"/>
      <c r="K9" s="23"/>
      <c r="L9" s="23"/>
      <c r="M9" s="18"/>
    </row>
    <row r="10" spans="1:16" s="18" customFormat="1" ht="25.5" customHeight="1">
      <c r="A10" s="172"/>
      <c r="B10" s="173"/>
      <c r="C10" s="383"/>
      <c r="D10" s="501" t="s">
        <v>103</v>
      </c>
      <c r="E10" s="502"/>
      <c r="F10" s="415"/>
      <c r="G10" s="501" t="s">
        <v>104</v>
      </c>
      <c r="H10" s="502"/>
      <c r="I10" s="415"/>
      <c r="J10" s="434" t="s">
        <v>102</v>
      </c>
      <c r="K10" s="400"/>
      <c r="L10" s="400"/>
    </row>
    <row r="11" spans="1:16" s="18" customFormat="1">
      <c r="A11" s="174"/>
      <c r="B11" s="20"/>
      <c r="C11" s="384"/>
      <c r="D11" s="314" t="s">
        <v>47</v>
      </c>
      <c r="E11" s="332" t="s">
        <v>46</v>
      </c>
      <c r="F11" s="415"/>
      <c r="G11" s="314" t="s">
        <v>47</v>
      </c>
      <c r="H11" s="332" t="s">
        <v>55</v>
      </c>
      <c r="I11" s="415"/>
      <c r="J11" s="435" t="s">
        <v>93</v>
      </c>
      <c r="K11" s="400"/>
      <c r="L11" s="400"/>
      <c r="M11" s="7"/>
    </row>
    <row r="12" spans="1:16">
      <c r="A12" s="175" t="s">
        <v>96</v>
      </c>
      <c r="B12" s="148"/>
      <c r="C12" s="385"/>
      <c r="D12" s="373">
        <v>10.4</v>
      </c>
      <c r="E12" s="333">
        <v>20</v>
      </c>
      <c r="F12" s="401"/>
      <c r="G12" s="315">
        <v>4</v>
      </c>
      <c r="H12" s="361">
        <v>50.15</v>
      </c>
      <c r="I12" s="424"/>
      <c r="J12" s="423"/>
      <c r="K12" s="23"/>
      <c r="L12" s="23"/>
    </row>
    <row r="13" spans="1:16">
      <c r="A13" s="276" t="s">
        <v>111</v>
      </c>
      <c r="B13" s="166"/>
      <c r="C13" s="386"/>
      <c r="D13" s="374"/>
      <c r="E13" s="334"/>
      <c r="F13" s="402"/>
      <c r="G13" s="316">
        <v>22</v>
      </c>
      <c r="H13" s="335">
        <v>22</v>
      </c>
      <c r="I13" s="426"/>
      <c r="J13" s="436">
        <v>5</v>
      </c>
      <c r="K13" s="23"/>
      <c r="L13" s="23"/>
    </row>
    <row r="14" spans="1:16">
      <c r="A14" s="176" t="s">
        <v>97</v>
      </c>
      <c r="B14" s="166"/>
      <c r="C14" s="386"/>
      <c r="D14" s="316">
        <v>87</v>
      </c>
      <c r="E14" s="335"/>
      <c r="F14" s="403"/>
      <c r="G14" s="316">
        <v>195</v>
      </c>
      <c r="H14" s="362"/>
      <c r="I14" s="427"/>
      <c r="J14" s="427"/>
      <c r="K14" s="23"/>
      <c r="L14" s="23"/>
    </row>
    <row r="15" spans="1:16" ht="21.75" customHeight="1">
      <c r="A15" s="505" t="s">
        <v>110</v>
      </c>
      <c r="B15" s="506"/>
      <c r="C15" s="386"/>
      <c r="D15" s="316">
        <v>18</v>
      </c>
      <c r="E15" s="335"/>
      <c r="F15" s="403"/>
      <c r="G15" s="316">
        <v>1</v>
      </c>
      <c r="H15" s="363"/>
      <c r="I15" s="428"/>
      <c r="J15" s="428">
        <f>ROUNDUP(J13*48/12,0)</f>
        <v>20</v>
      </c>
      <c r="K15" s="23"/>
      <c r="L15" s="23"/>
      <c r="P15" s="163"/>
    </row>
    <row r="16" spans="1:16" ht="12.75" customHeight="1">
      <c r="A16" s="473" t="s">
        <v>155</v>
      </c>
      <c r="B16" s="474"/>
      <c r="C16" s="475"/>
      <c r="D16" s="476"/>
      <c r="E16" s="477"/>
      <c r="F16" s="426"/>
      <c r="G16" s="316"/>
      <c r="H16" s="363"/>
      <c r="I16" s="428"/>
      <c r="J16" s="428"/>
      <c r="K16" s="23"/>
      <c r="L16" s="23"/>
      <c r="P16" s="163"/>
    </row>
    <row r="17" spans="1:16">
      <c r="A17" s="177" t="s">
        <v>112</v>
      </c>
      <c r="B17" s="149"/>
      <c r="C17" s="387"/>
      <c r="D17" s="375">
        <v>0</v>
      </c>
      <c r="E17" s="313"/>
      <c r="F17" s="404"/>
      <c r="G17" s="312">
        <v>0.1</v>
      </c>
      <c r="H17" s="363"/>
      <c r="I17" s="428"/>
      <c r="J17" s="428"/>
      <c r="K17" s="23"/>
      <c r="L17" s="23"/>
      <c r="P17" s="164"/>
    </row>
    <row r="18" spans="1:16" ht="20.100000000000001" customHeight="1">
      <c r="A18" s="195" t="s">
        <v>99</v>
      </c>
      <c r="B18" s="194"/>
      <c r="C18" s="388"/>
      <c r="D18" s="376">
        <f>D12*D14+D12*D16+D15*ROUND((D12*125%),2)+D17</f>
        <v>1138.8</v>
      </c>
      <c r="E18" s="336">
        <f>E12*E14+E15*E12*125%</f>
        <v>0</v>
      </c>
      <c r="F18" s="416"/>
      <c r="G18" s="274">
        <f>G14*G12+G12*G16+ROUND(G15*G12*(1+G17),2)</f>
        <v>784.4</v>
      </c>
      <c r="H18" s="364">
        <f>H12*H13</f>
        <v>1103.3</v>
      </c>
      <c r="I18" s="429"/>
      <c r="J18" s="352"/>
      <c r="K18" s="186"/>
      <c r="L18" s="23"/>
    </row>
    <row r="19" spans="1:16">
      <c r="A19" s="178" t="s">
        <v>57</v>
      </c>
      <c r="B19" s="150"/>
      <c r="C19" s="389"/>
      <c r="D19" s="377"/>
      <c r="E19" s="337"/>
      <c r="F19" s="405"/>
      <c r="G19" s="317"/>
      <c r="H19" s="365">
        <v>3.01</v>
      </c>
      <c r="I19" s="412"/>
      <c r="J19" s="352"/>
      <c r="K19" s="23"/>
    </row>
    <row r="20" spans="1:16" hidden="1">
      <c r="A20" s="179"/>
      <c r="B20" s="151"/>
      <c r="C20" s="390"/>
      <c r="D20" s="318"/>
      <c r="E20" s="338"/>
      <c r="F20" s="406"/>
      <c r="G20" s="318"/>
      <c r="H20" s="344"/>
      <c r="I20" s="406"/>
      <c r="J20" s="353"/>
      <c r="K20" s="23"/>
    </row>
    <row r="21" spans="1:16" hidden="1">
      <c r="A21" s="179"/>
      <c r="B21" s="151"/>
      <c r="C21" s="390"/>
      <c r="D21" s="318"/>
      <c r="E21" s="338"/>
      <c r="F21" s="406"/>
      <c r="G21" s="318"/>
      <c r="H21" s="344"/>
      <c r="I21" s="406"/>
      <c r="J21" s="353"/>
      <c r="K21" s="23"/>
    </row>
    <row r="22" spans="1:16" hidden="1">
      <c r="A22" s="179"/>
      <c r="B22" s="151"/>
      <c r="C22" s="390"/>
      <c r="D22" s="318"/>
      <c r="E22" s="338"/>
      <c r="F22" s="406"/>
      <c r="G22" s="318"/>
      <c r="H22" s="344"/>
      <c r="I22" s="406"/>
      <c r="J22" s="353"/>
      <c r="K22" s="23"/>
    </row>
    <row r="23" spans="1:16" hidden="1">
      <c r="A23" s="179"/>
      <c r="B23" s="151"/>
      <c r="C23" s="390"/>
      <c r="D23" s="318"/>
      <c r="E23" s="338"/>
      <c r="F23" s="406"/>
      <c r="G23" s="318"/>
      <c r="H23" s="344"/>
      <c r="I23" s="406"/>
      <c r="J23" s="353"/>
      <c r="K23" s="23"/>
    </row>
    <row r="24" spans="1:16" hidden="1">
      <c r="A24" s="179"/>
      <c r="B24" s="151"/>
      <c r="C24" s="390"/>
      <c r="D24" s="318"/>
      <c r="E24" s="338"/>
      <c r="F24" s="406"/>
      <c r="G24" s="318"/>
      <c r="H24" s="344"/>
      <c r="I24" s="406"/>
      <c r="J24" s="353"/>
      <c r="K24" s="23"/>
    </row>
    <row r="25" spans="1:16" hidden="1">
      <c r="A25" s="179"/>
      <c r="B25" s="151"/>
      <c r="C25" s="390"/>
      <c r="D25" s="318"/>
      <c r="E25" s="338"/>
      <c r="F25" s="406"/>
      <c r="G25" s="318"/>
      <c r="H25" s="344"/>
      <c r="I25" s="406"/>
      <c r="J25" s="353"/>
      <c r="K25" s="23"/>
    </row>
    <row r="26" spans="1:16" hidden="1">
      <c r="A26" s="179"/>
      <c r="B26" s="151"/>
      <c r="C26" s="390"/>
      <c r="D26" s="318"/>
      <c r="E26" s="338"/>
      <c r="F26" s="406"/>
      <c r="G26" s="318"/>
      <c r="H26" s="344"/>
      <c r="I26" s="406"/>
      <c r="J26" s="353"/>
      <c r="K26" s="23"/>
    </row>
    <row r="27" spans="1:16" ht="15">
      <c r="A27" s="180" t="s">
        <v>78</v>
      </c>
      <c r="B27" s="146"/>
      <c r="C27" s="391"/>
      <c r="D27" s="322">
        <f>D18-Feuil3!E5</f>
        <v>911.1</v>
      </c>
      <c r="E27" s="339"/>
      <c r="F27" s="407"/>
      <c r="G27" s="319">
        <f>G18-Feuil3!H5</f>
        <v>612.4</v>
      </c>
      <c r="H27" s="366">
        <f>H18-Feuil3!L5</f>
        <v>860.68</v>
      </c>
      <c r="I27" s="430"/>
      <c r="J27" s="352"/>
      <c r="K27" s="23"/>
      <c r="L27"/>
    </row>
    <row r="28" spans="1:16" ht="15" hidden="1">
      <c r="A28" s="180"/>
      <c r="B28" s="146"/>
      <c r="C28" s="391"/>
      <c r="D28" s="322"/>
      <c r="E28" s="339"/>
      <c r="F28" s="407"/>
      <c r="G28" s="320"/>
      <c r="H28" s="367"/>
      <c r="I28" s="430"/>
      <c r="J28" s="352"/>
      <c r="K28" s="23"/>
      <c r="L28"/>
    </row>
    <row r="29" spans="1:16" ht="16.5" customHeight="1">
      <c r="A29" s="177" t="s">
        <v>12</v>
      </c>
      <c r="B29" s="149"/>
      <c r="C29" s="387"/>
      <c r="D29" s="375">
        <v>0</v>
      </c>
      <c r="E29" s="340"/>
      <c r="F29" s="405"/>
      <c r="G29" s="311"/>
      <c r="H29" s="363"/>
      <c r="I29" s="428"/>
      <c r="J29" s="352"/>
      <c r="K29" s="23"/>
      <c r="L29"/>
    </row>
    <row r="30" spans="1:16" ht="20.100000000000001" customHeight="1">
      <c r="A30" s="195" t="s">
        <v>100</v>
      </c>
      <c r="B30" s="196"/>
      <c r="C30" s="392"/>
      <c r="D30" s="378">
        <f>D27+D29</f>
        <v>911.1</v>
      </c>
      <c r="E30" s="341"/>
      <c r="F30" s="417"/>
      <c r="G30" s="274">
        <f>G27+(G19*G13)</f>
        <v>612.4</v>
      </c>
      <c r="H30" s="364">
        <f>H27+H19*H13</f>
        <v>926.9</v>
      </c>
      <c r="I30" s="429"/>
      <c r="J30" s="352"/>
      <c r="L30"/>
    </row>
    <row r="31" spans="1:16" ht="11.25" customHeight="1">
      <c r="A31" s="178" t="s">
        <v>40</v>
      </c>
      <c r="B31" s="150"/>
      <c r="C31" s="389"/>
      <c r="D31" s="379">
        <f>D30+Feuil3!E7-Feuil3!E4</f>
        <v>1616.03</v>
      </c>
      <c r="E31" s="342"/>
      <c r="F31" s="408"/>
      <c r="G31" s="321">
        <f>G27+Feuil3!H7</f>
        <v>1114.98</v>
      </c>
      <c r="H31" s="368">
        <f>H27+Feuil3!L7</f>
        <v>1568.29</v>
      </c>
      <c r="I31" s="431"/>
      <c r="J31" s="352"/>
      <c r="L31"/>
    </row>
    <row r="32" spans="1:16" ht="11.25" customHeight="1">
      <c r="A32" s="181" t="s">
        <v>6</v>
      </c>
      <c r="B32" s="161"/>
      <c r="C32" s="391"/>
      <c r="D32" s="322"/>
      <c r="E32" s="339"/>
      <c r="F32" s="407"/>
      <c r="G32" s="322"/>
      <c r="H32" s="369"/>
      <c r="I32" s="428"/>
      <c r="J32" s="352"/>
      <c r="L32"/>
    </row>
    <row r="33" spans="1:12" ht="9.9499999999999993" customHeight="1">
      <c r="A33" s="176" t="s">
        <v>85</v>
      </c>
      <c r="B33" s="12"/>
      <c r="C33" s="386"/>
      <c r="D33" s="380">
        <f>IF(D3="oui",IF(Feuil2!C7&gt;Feuil3!E7*50%,-Feuil3!E7*50%,-Feuil2!C7),IF(Feuil2!E7&gt;Feuil3!E7*50%,-Feuil3!E7*50%,-Feuil2!E7))</f>
        <v>-352.47</v>
      </c>
      <c r="E33" s="343"/>
      <c r="F33" s="409"/>
      <c r="G33" s="323">
        <f>IF(G18/G13&lt;=Feuil2!C30,-Feuil3!H7,0)</f>
        <v>-502.58</v>
      </c>
      <c r="H33" s="346">
        <f>IF(H12&lt;=Feuil2!C30,-Feuil3!L7,0)</f>
        <v>-707.61</v>
      </c>
      <c r="I33" s="432"/>
      <c r="J33" s="352"/>
      <c r="L33"/>
    </row>
    <row r="34" spans="1:12" hidden="1">
      <c r="A34" s="179"/>
      <c r="B34" s="162"/>
      <c r="C34" s="390"/>
      <c r="D34" s="318"/>
      <c r="E34" s="344"/>
      <c r="F34" s="410"/>
      <c r="G34" s="318"/>
      <c r="H34" s="344"/>
      <c r="I34" s="406"/>
      <c r="J34" s="353"/>
    </row>
    <row r="35" spans="1:12" hidden="1">
      <c r="A35" s="179"/>
      <c r="B35" s="151"/>
      <c r="C35" s="390"/>
      <c r="D35" s="318"/>
      <c r="E35" s="344"/>
      <c r="F35" s="410"/>
      <c r="G35" s="318"/>
      <c r="H35" s="344"/>
      <c r="I35" s="406"/>
      <c r="J35" s="353"/>
    </row>
    <row r="36" spans="1:12" hidden="1">
      <c r="A36" s="179"/>
      <c r="B36" s="151"/>
      <c r="C36" s="390"/>
      <c r="D36" s="318"/>
      <c r="E36" s="344"/>
      <c r="F36" s="410"/>
      <c r="G36" s="318"/>
      <c r="H36" s="344"/>
      <c r="I36" s="406"/>
      <c r="J36" s="353"/>
    </row>
    <row r="37" spans="1:12" hidden="1">
      <c r="A37" s="179"/>
      <c r="B37" s="151"/>
      <c r="C37" s="390"/>
      <c r="D37" s="318"/>
      <c r="E37" s="344"/>
      <c r="F37" s="410"/>
      <c r="G37" s="318"/>
      <c r="H37" s="344"/>
      <c r="I37" s="406"/>
      <c r="J37" s="353"/>
    </row>
    <row r="38" spans="1:12" hidden="1">
      <c r="A38" s="179"/>
      <c r="B38" s="151"/>
      <c r="C38" s="390"/>
      <c r="D38" s="318"/>
      <c r="E38" s="344"/>
      <c r="F38" s="410"/>
      <c r="G38" s="318"/>
      <c r="H38" s="344"/>
      <c r="I38" s="406"/>
      <c r="J38" s="353"/>
    </row>
    <row r="39" spans="1:12" hidden="1">
      <c r="A39" s="179"/>
      <c r="B39" s="151"/>
      <c r="C39" s="390"/>
      <c r="D39" s="318"/>
      <c r="E39" s="344"/>
      <c r="F39" s="410"/>
      <c r="G39" s="318"/>
      <c r="H39" s="344"/>
      <c r="I39" s="406"/>
      <c r="J39" s="353"/>
    </row>
    <row r="40" spans="1:12" hidden="1">
      <c r="A40" s="179"/>
      <c r="B40" s="151"/>
      <c r="C40" s="390"/>
      <c r="D40" s="318"/>
      <c r="E40" s="344"/>
      <c r="F40" s="410"/>
      <c r="G40" s="318"/>
      <c r="H40" s="344"/>
      <c r="I40" s="406"/>
      <c r="J40" s="353"/>
    </row>
    <row r="41" spans="1:12" hidden="1">
      <c r="A41" s="179"/>
      <c r="B41" s="151"/>
      <c r="C41" s="390"/>
      <c r="D41" s="318"/>
      <c r="E41" s="344"/>
      <c r="F41" s="410"/>
      <c r="G41" s="318"/>
      <c r="H41" s="344"/>
      <c r="I41" s="406"/>
      <c r="J41" s="353"/>
    </row>
    <row r="42" spans="1:12" hidden="1">
      <c r="A42" s="179"/>
      <c r="B42" s="151"/>
      <c r="C42" s="390"/>
      <c r="D42" s="318"/>
      <c r="E42" s="344"/>
      <c r="F42" s="410"/>
      <c r="G42" s="318"/>
      <c r="H42" s="344"/>
      <c r="I42" s="406"/>
      <c r="J42" s="353"/>
    </row>
    <row r="43" spans="1:12" hidden="1">
      <c r="A43" s="179"/>
      <c r="B43" s="151"/>
      <c r="C43" s="390"/>
      <c r="D43" s="318"/>
      <c r="E43" s="344"/>
      <c r="F43" s="410"/>
      <c r="G43" s="318"/>
      <c r="H43" s="344"/>
      <c r="I43" s="406"/>
      <c r="J43" s="353"/>
    </row>
    <row r="44" spans="1:12" ht="15" customHeight="1">
      <c r="A44" s="182" t="s">
        <v>87</v>
      </c>
      <c r="B44" s="183"/>
      <c r="C44" s="393">
        <f>Feuil3!E7+Simulateur!D33+C69</f>
        <v>177.71</v>
      </c>
      <c r="D44" s="381"/>
      <c r="E44" s="345"/>
      <c r="F44" s="406"/>
      <c r="G44" s="324"/>
      <c r="H44" s="370"/>
      <c r="I44" s="406"/>
      <c r="J44" s="353"/>
      <c r="L44"/>
    </row>
    <row r="45" spans="1:12" hidden="1">
      <c r="A45" s="179"/>
      <c r="B45" s="151"/>
      <c r="C45" s="390"/>
      <c r="D45" s="318"/>
      <c r="E45" s="344"/>
      <c r="F45" s="410"/>
      <c r="G45" s="318"/>
      <c r="H45" s="344"/>
      <c r="I45" s="406"/>
      <c r="J45" s="353"/>
    </row>
    <row r="46" spans="1:12" hidden="1">
      <c r="A46" s="179"/>
      <c r="B46" s="151"/>
      <c r="C46" s="390"/>
      <c r="D46" s="318"/>
      <c r="E46" s="344"/>
      <c r="F46" s="410"/>
      <c r="G46" s="318"/>
      <c r="H46" s="344"/>
      <c r="I46" s="406"/>
      <c r="J46" s="353"/>
    </row>
    <row r="47" spans="1:12" hidden="1">
      <c r="A47" s="179"/>
      <c r="B47" s="151"/>
      <c r="C47" s="390"/>
      <c r="D47" s="318"/>
      <c r="E47" s="344"/>
      <c r="F47" s="410"/>
      <c r="G47" s="318"/>
      <c r="H47" s="344"/>
      <c r="I47" s="406"/>
      <c r="J47" s="353"/>
    </row>
    <row r="48" spans="1:12" hidden="1">
      <c r="A48" s="179"/>
      <c r="B48" s="151"/>
      <c r="C48" s="390"/>
      <c r="D48" s="318"/>
      <c r="E48" s="344"/>
      <c r="F48" s="410"/>
      <c r="G48" s="318"/>
      <c r="H48" s="344"/>
      <c r="I48" s="406"/>
      <c r="J48" s="353"/>
    </row>
    <row r="49" spans="1:10" hidden="1">
      <c r="A49" s="179"/>
      <c r="B49" s="151"/>
      <c r="C49" s="390"/>
      <c r="D49" s="318"/>
      <c r="E49" s="344"/>
      <c r="F49" s="410"/>
      <c r="G49" s="318"/>
      <c r="H49" s="344"/>
      <c r="I49" s="406"/>
      <c r="J49" s="353"/>
    </row>
    <row r="50" spans="1:10" hidden="1">
      <c r="A50" s="179"/>
      <c r="B50" s="151"/>
      <c r="C50" s="390"/>
      <c r="D50" s="318"/>
      <c r="E50" s="344"/>
      <c r="F50" s="410"/>
      <c r="G50" s="318"/>
      <c r="H50" s="344"/>
      <c r="I50" s="406"/>
      <c r="J50" s="353"/>
    </row>
    <row r="51" spans="1:10" hidden="1">
      <c r="A51" s="179"/>
      <c r="B51" s="151"/>
      <c r="C51" s="390"/>
      <c r="D51" s="318"/>
      <c r="E51" s="344"/>
      <c r="F51" s="410"/>
      <c r="G51" s="318"/>
      <c r="H51" s="344"/>
      <c r="I51" s="406"/>
      <c r="J51" s="353"/>
    </row>
    <row r="52" spans="1:10">
      <c r="A52" s="176" t="s">
        <v>8</v>
      </c>
      <c r="B52" s="166"/>
      <c r="C52" s="386"/>
      <c r="D52" s="323">
        <f>IF(D27*85%&lt;(Feuil3!E9+Feuil3!E10+Feuil3!E11+Feuil3!E12+Feuil3!E13+Feuil3!E14+Feuil3!E15+Feuil3!E16),-D27*85%,-(Feuil3!E9+Feuil3!E10+Feuil3!E11+Feuil3!E12+Feuil3!E13+Feuil3!E14+Feuil3!E15+Feuil3!E16))</f>
        <v>-295.62</v>
      </c>
      <c r="E52" s="346">
        <f>IF(E18*85%&lt;Feuil3!F17,-E18*85%,-Feuil3!F17)</f>
        <v>0</v>
      </c>
      <c r="F52" s="411"/>
      <c r="G52" s="323">
        <f>IF(G18/G13&lt;=Feuil2!C30,Feuil3!H18,0)</f>
        <v>-295.62</v>
      </c>
      <c r="H52" s="346">
        <f>IF(H12&lt;=Feuil2!C30,Feuil3!I18,0)</f>
        <v>-295.62</v>
      </c>
      <c r="I52" s="432"/>
      <c r="J52" s="354"/>
    </row>
    <row r="53" spans="1:10" hidden="1">
      <c r="A53" s="179"/>
      <c r="B53" s="151"/>
      <c r="C53" s="390"/>
      <c r="D53" s="318"/>
      <c r="E53" s="344"/>
      <c r="F53" s="406"/>
      <c r="G53" s="325"/>
      <c r="H53" s="338"/>
      <c r="I53" s="406"/>
      <c r="J53" s="355"/>
    </row>
    <row r="54" spans="1:10" hidden="1">
      <c r="A54" s="179"/>
      <c r="B54" s="151"/>
      <c r="C54" s="390"/>
      <c r="D54" s="318"/>
      <c r="E54" s="344"/>
      <c r="F54" s="406"/>
      <c r="G54" s="325"/>
      <c r="H54" s="338"/>
      <c r="I54" s="406"/>
      <c r="J54" s="355"/>
    </row>
    <row r="55" spans="1:10" hidden="1">
      <c r="A55" s="179"/>
      <c r="B55" s="151"/>
      <c r="C55" s="390"/>
      <c r="D55" s="318"/>
      <c r="E55" s="344"/>
      <c r="F55" s="406"/>
      <c r="G55" s="325"/>
      <c r="H55" s="338"/>
      <c r="I55" s="406"/>
      <c r="J55" s="355"/>
    </row>
    <row r="56" spans="1:10" hidden="1">
      <c r="A56" s="179"/>
      <c r="B56" s="151"/>
      <c r="C56" s="390"/>
      <c r="D56" s="318"/>
      <c r="E56" s="344"/>
      <c r="F56" s="406"/>
      <c r="G56" s="325"/>
      <c r="H56" s="338"/>
      <c r="I56" s="406"/>
      <c r="J56" s="355"/>
    </row>
    <row r="57" spans="1:10">
      <c r="A57" s="184" t="s">
        <v>18</v>
      </c>
      <c r="B57" s="165"/>
      <c r="C57" s="394"/>
      <c r="D57" s="330"/>
      <c r="E57" s="347"/>
      <c r="F57" s="407"/>
      <c r="G57" s="326"/>
      <c r="H57" s="371"/>
      <c r="I57" s="428"/>
      <c r="J57" s="356">
        <f>SUM(Feuil3!K28:K31)</f>
        <v>501.32</v>
      </c>
    </row>
    <row r="58" spans="1:10" ht="20.100000000000001" customHeight="1">
      <c r="A58" s="197" t="s">
        <v>41</v>
      </c>
      <c r="B58" s="198"/>
      <c r="C58" s="395"/>
      <c r="D58" s="327">
        <f>D31+D33+D52+C69</f>
        <v>793.19</v>
      </c>
      <c r="E58" s="348">
        <f>E18+E52+Feuil3!F25</f>
        <v>0</v>
      </c>
      <c r="F58" s="419"/>
      <c r="G58" s="327">
        <f>G31+G33+G52+(G13*G19)</f>
        <v>316.77999999999997</v>
      </c>
      <c r="H58" s="348">
        <f>H31+H33+H52+(H13*H19)</f>
        <v>631.28</v>
      </c>
      <c r="I58" s="419"/>
      <c r="J58" s="357">
        <f>J57</f>
        <v>501.32</v>
      </c>
    </row>
    <row r="59" spans="1:10">
      <c r="A59" s="185" t="s">
        <v>59</v>
      </c>
      <c r="B59" s="12"/>
      <c r="C59" s="396"/>
      <c r="D59" s="382">
        <v>0</v>
      </c>
      <c r="E59" s="349"/>
      <c r="F59" s="420"/>
      <c r="G59" s="437"/>
      <c r="H59" s="441"/>
      <c r="I59" s="440"/>
      <c r="J59" s="352"/>
    </row>
    <row r="60" spans="1:10" ht="20.100000000000001" customHeight="1" thickBot="1">
      <c r="A60" s="197" t="s">
        <v>33</v>
      </c>
      <c r="B60" s="199"/>
      <c r="C60" s="397"/>
      <c r="D60" s="327">
        <f>((D58-D29)*12+D59*12)+D29*11</f>
        <v>9518.2800000000007</v>
      </c>
      <c r="E60" s="348">
        <f>E58*12+E59</f>
        <v>0</v>
      </c>
      <c r="F60" s="418"/>
      <c r="G60" s="328">
        <f>G58*12</f>
        <v>3801.36</v>
      </c>
      <c r="H60" s="372">
        <f>H58*12</f>
        <v>7575.36</v>
      </c>
      <c r="I60" s="433"/>
      <c r="J60" s="357">
        <f>J58*11</f>
        <v>5514.52</v>
      </c>
    </row>
    <row r="61" spans="1:10" ht="12" hidden="1" thickBot="1">
      <c r="A61" s="186"/>
      <c r="B61" s="23"/>
      <c r="C61" s="345"/>
      <c r="D61" s="325"/>
      <c r="E61" s="338"/>
      <c r="F61" s="406"/>
      <c r="G61" s="325"/>
      <c r="H61" s="338"/>
      <c r="I61" s="406"/>
      <c r="J61" s="353"/>
    </row>
    <row r="62" spans="1:10" ht="12" hidden="1" thickBot="1">
      <c r="A62" s="186"/>
      <c r="B62" s="23"/>
      <c r="C62" s="345"/>
      <c r="D62" s="325"/>
      <c r="E62" s="338"/>
      <c r="F62" s="406"/>
      <c r="G62" s="325"/>
      <c r="H62" s="338"/>
      <c r="I62" s="406"/>
      <c r="J62" s="353"/>
    </row>
    <row r="63" spans="1:10" ht="12" hidden="1" thickBot="1">
      <c r="A63" s="186"/>
      <c r="B63" s="23"/>
      <c r="C63" s="345"/>
      <c r="D63" s="325"/>
      <c r="E63" s="338"/>
      <c r="F63" s="406"/>
      <c r="G63" s="325"/>
      <c r="H63" s="338"/>
      <c r="I63" s="406"/>
      <c r="J63" s="353"/>
    </row>
    <row r="64" spans="1:10" ht="12" hidden="1" thickBot="1">
      <c r="A64" s="186"/>
      <c r="B64" s="23"/>
      <c r="C64" s="345"/>
      <c r="D64" s="325"/>
      <c r="E64" s="338"/>
      <c r="F64" s="406"/>
      <c r="G64" s="325"/>
      <c r="H64" s="338"/>
      <c r="I64" s="406"/>
      <c r="J64" s="353"/>
    </row>
    <row r="65" spans="1:10" ht="12" hidden="1" thickBot="1">
      <c r="A65" s="186"/>
      <c r="B65" s="23"/>
      <c r="C65" s="345"/>
      <c r="D65" s="325"/>
      <c r="E65" s="338"/>
      <c r="F65" s="406"/>
      <c r="G65" s="325"/>
      <c r="H65" s="338"/>
      <c r="I65" s="406"/>
      <c r="J65" s="353"/>
    </row>
    <row r="66" spans="1:10">
      <c r="A66" s="187" t="s">
        <v>141</v>
      </c>
      <c r="B66" s="148"/>
      <c r="C66" s="385"/>
      <c r="D66" s="329">
        <f>IF(D7="oui",Feuil3!E35,Feuil3!E37)</f>
        <v>-4759.1400000000003</v>
      </c>
      <c r="E66" s="350">
        <f>IF(D7="oui",Feuil3!F35,Feuil3!F37)</f>
        <v>0</v>
      </c>
      <c r="F66" s="438"/>
      <c r="G66" s="329">
        <f>Feuil3!H35</f>
        <v>-1150</v>
      </c>
      <c r="H66" s="350">
        <f>Feuil3!I35</f>
        <v>-1150</v>
      </c>
      <c r="I66" s="439"/>
      <c r="J66" s="358">
        <f>Feuil3!K35</f>
        <v>-1150</v>
      </c>
    </row>
    <row r="67" spans="1:10">
      <c r="A67" s="184" t="s">
        <v>142</v>
      </c>
      <c r="B67" s="152"/>
      <c r="C67" s="398"/>
      <c r="D67" s="330">
        <f>D60+D66</f>
        <v>4759.1400000000003</v>
      </c>
      <c r="E67" s="347">
        <f>E60+E66</f>
        <v>0</v>
      </c>
      <c r="F67" s="407"/>
      <c r="G67" s="330">
        <f>G60+G66</f>
        <v>2651.36</v>
      </c>
      <c r="H67" s="347">
        <f>H60+H66</f>
        <v>6425.36</v>
      </c>
      <c r="I67" s="421"/>
      <c r="J67" s="359">
        <f>J60+Feuil3!K35</f>
        <v>4364.5200000000004</v>
      </c>
    </row>
    <row r="68" spans="1:10" ht="20.100000000000001" customHeight="1" thickBot="1">
      <c r="A68" s="200" t="s">
        <v>101</v>
      </c>
      <c r="B68" s="201"/>
      <c r="C68" s="399"/>
      <c r="D68" s="331">
        <f>D67/12</f>
        <v>396.6</v>
      </c>
      <c r="E68" s="351">
        <f>E67/12</f>
        <v>0</v>
      </c>
      <c r="F68" s="422"/>
      <c r="G68" s="331">
        <f>G67/12</f>
        <v>220.95</v>
      </c>
      <c r="H68" s="351">
        <f>H67/12</f>
        <v>535.45000000000005</v>
      </c>
      <c r="I68" s="422"/>
      <c r="J68" s="360">
        <f>J67/12</f>
        <v>363.71</v>
      </c>
    </row>
    <row r="69" spans="1:10" ht="18.95" customHeight="1">
      <c r="A69" s="158" t="s">
        <v>86</v>
      </c>
      <c r="B69" s="157"/>
      <c r="C69" s="159">
        <f>-'1'!E37</f>
        <v>-174.75</v>
      </c>
      <c r="E69" s="5"/>
      <c r="F69" s="13"/>
      <c r="G69" s="6"/>
      <c r="H69" s="6"/>
      <c r="I69" s="70"/>
      <c r="J69" s="273" t="s">
        <v>158</v>
      </c>
    </row>
    <row r="70" spans="1:10" s="190" customFormat="1" ht="34.5" customHeight="1">
      <c r="A70" s="507" t="s">
        <v>98</v>
      </c>
      <c r="B70" s="507"/>
      <c r="C70" s="507"/>
      <c r="D70" s="507"/>
      <c r="E70" s="507"/>
      <c r="F70" s="507"/>
      <c r="G70" s="507"/>
      <c r="H70" s="188"/>
      <c r="I70" s="188"/>
      <c r="J70" s="189"/>
    </row>
    <row r="71" spans="1:10" s="190" customFormat="1" ht="21" customHeight="1">
      <c r="A71" s="190" t="s">
        <v>73</v>
      </c>
    </row>
    <row r="72" spans="1:10" s="190" customFormat="1">
      <c r="A72" s="191" t="s">
        <v>75</v>
      </c>
      <c r="C72" s="192">
        <f>Feuil3!I7+H33</f>
        <v>-707.61</v>
      </c>
      <c r="D72" s="190" t="s">
        <v>94</v>
      </c>
    </row>
    <row r="73" spans="1:10" s="190" customFormat="1">
      <c r="A73" s="191" t="s">
        <v>75</v>
      </c>
      <c r="C73" s="193">
        <f>Feuil3!H7+G33</f>
        <v>0</v>
      </c>
      <c r="D73" s="190" t="s">
        <v>95</v>
      </c>
    </row>
    <row r="74" spans="1:10" ht="28.5" customHeight="1">
      <c r="A74" s="500" t="s">
        <v>139</v>
      </c>
      <c r="B74" s="500"/>
      <c r="C74" s="500"/>
      <c r="D74" s="500"/>
      <c r="E74" s="500"/>
      <c r="F74" s="500"/>
      <c r="G74" s="500"/>
      <c r="H74" s="500"/>
      <c r="I74" s="500"/>
      <c r="J74" s="500"/>
    </row>
  </sheetData>
  <sheetProtection password="E32B" sheet="1" objects="1" scenarios="1"/>
  <mergeCells count="11">
    <mergeCell ref="G1:J1"/>
    <mergeCell ref="E3:F3"/>
    <mergeCell ref="A74:J74"/>
    <mergeCell ref="G10:H10"/>
    <mergeCell ref="A4:C4"/>
    <mergeCell ref="A5:C5"/>
    <mergeCell ref="A6:C6"/>
    <mergeCell ref="A8:C8"/>
    <mergeCell ref="D10:E10"/>
    <mergeCell ref="A15:B15"/>
    <mergeCell ref="A70:G70"/>
  </mergeCells>
  <printOptions horizontalCentered="1" verticalCentered="1"/>
  <pageMargins left="0.23622047244094491" right="0.23622047244094491" top="0.55118110236220474" bottom="0.15748031496062992" header="0.31496062992125984" footer="0.31496062992125984"/>
  <pageSetup paperSize="9" scale="95" orientation="landscape" r:id="rId1"/>
  <headerFooter>
    <oddHeader>&amp;L&amp;G</oddHeader>
    <oddFooter>&amp;R&amp;"Arial,Normal"&amp;8&amp;K0070C0En partenariat avec :&amp;"Times New Roman,Normal"&amp;11&amp;K000000 &amp;G</oddFooter>
  </headerFooter>
  <colBreaks count="1" manualBreakCount="1">
    <brk id="10" max="1048575" man="1"/>
  </colBreaks>
  <drawing r:id="rId2"/>
  <legacyDrawing r:id="rId3"/>
  <legacyDrawingHF r:id="rId4"/>
</worksheet>
</file>

<file path=xl/worksheets/sheet4.xml><?xml version="1.0" encoding="utf-8"?>
<worksheet xmlns="http://schemas.openxmlformats.org/spreadsheetml/2006/main" xmlns:r="http://schemas.openxmlformats.org/officeDocument/2006/relationships">
  <dimension ref="B2:N37"/>
  <sheetViews>
    <sheetView workbookViewId="0">
      <selection activeCell="E5" sqref="E5"/>
    </sheetView>
  </sheetViews>
  <sheetFormatPr baseColWidth="10" defaultRowHeight="15"/>
  <sheetData>
    <row r="2" spans="2:14" s="7" customFormat="1" ht="11.25">
      <c r="B2" s="61"/>
      <c r="C2" s="12"/>
      <c r="D2" s="12"/>
      <c r="E2" s="28"/>
      <c r="F2" s="28"/>
      <c r="G2" s="24"/>
      <c r="H2" s="75">
        <f>Simulateur!G18*Feuil2!E27</f>
        <v>0</v>
      </c>
      <c r="I2" s="75">
        <f>Simulateur!H12*Simulateur!H13*Feuil2!E27</f>
        <v>0</v>
      </c>
      <c r="J2" s="76"/>
      <c r="K2" s="70"/>
    </row>
    <row r="3" spans="2:14" s="7" customFormat="1" ht="11.25">
      <c r="B3" s="61"/>
      <c r="C3" s="12"/>
      <c r="D3" s="12"/>
      <c r="E3" s="77"/>
      <c r="F3" s="28"/>
      <c r="G3" s="24"/>
      <c r="H3" s="28"/>
      <c r="I3" s="75"/>
      <c r="J3" s="76"/>
      <c r="K3" s="76"/>
    </row>
    <row r="4" spans="2:14" s="7" customFormat="1" ht="11.25">
      <c r="B4" s="61"/>
      <c r="C4" s="12"/>
      <c r="D4" s="12"/>
      <c r="E4" s="28"/>
      <c r="F4" s="28"/>
      <c r="G4" s="24"/>
      <c r="H4" s="75"/>
      <c r="I4" s="75"/>
      <c r="J4" s="76"/>
      <c r="K4" s="70"/>
      <c r="L4" s="23"/>
    </row>
    <row r="5" spans="2:14" s="7" customFormat="1" ht="11.25">
      <c r="B5" s="61" t="s">
        <v>3</v>
      </c>
      <c r="C5" s="12"/>
      <c r="D5" s="12"/>
      <c r="E5" s="28">
        <f>' BS GED'!H21</f>
        <v>227.7</v>
      </c>
      <c r="F5" s="28"/>
      <c r="G5" s="24"/>
      <c r="H5" s="75">
        <f>'BS AM'!H23</f>
        <v>172</v>
      </c>
      <c r="I5" s="75">
        <f>Simulateur!H18*Feuil2!$E$27</f>
        <v>0</v>
      </c>
      <c r="J5" s="76"/>
      <c r="K5" s="70"/>
      <c r="L5" s="307">
        <f>'BS AM'!R23</f>
        <v>242.62</v>
      </c>
    </row>
    <row r="6" spans="2:14" s="7" customFormat="1">
      <c r="B6" s="56" t="s">
        <v>4</v>
      </c>
      <c r="C6" s="55"/>
      <c r="D6" s="55"/>
      <c r="E6" s="29">
        <f>' BS GED'!F21</f>
        <v>477.23</v>
      </c>
      <c r="F6" s="28"/>
      <c r="G6" s="24"/>
      <c r="H6" s="78">
        <f>'BS AM'!F23</f>
        <v>330.58</v>
      </c>
      <c r="I6" s="78">
        <f>Simulateur!H12*Simulateur!H13*Feuil2!E28</f>
        <v>0</v>
      </c>
      <c r="J6" s="76"/>
      <c r="K6" s="70"/>
      <c r="L6" s="307">
        <f>'BS AM'!P23</f>
        <v>464.99</v>
      </c>
      <c r="N6"/>
    </row>
    <row r="7" spans="2:14" s="7" customFormat="1">
      <c r="B7" s="56" t="s">
        <v>84</v>
      </c>
      <c r="C7" s="55"/>
      <c r="D7" s="55"/>
      <c r="E7" s="128">
        <f>' BS GED'!F21+' BS GED'!H21</f>
        <v>704.93</v>
      </c>
      <c r="F7" s="24"/>
      <c r="G7" s="24"/>
      <c r="H7" s="80">
        <f>SUM(H5:H6)</f>
        <v>502.58</v>
      </c>
      <c r="I7" s="79">
        <f>I2+I6</f>
        <v>0</v>
      </c>
      <c r="J7" s="79"/>
      <c r="K7" s="19"/>
      <c r="L7" s="307">
        <f>SUM(L5:L6)</f>
        <v>707.61</v>
      </c>
      <c r="M7" s="47"/>
      <c r="N7"/>
    </row>
    <row r="8" spans="2:14">
      <c r="B8" s="65"/>
      <c r="E8" s="153"/>
    </row>
    <row r="9" spans="2:14" s="7" customFormat="1">
      <c r="B9" s="56"/>
      <c r="C9" s="55"/>
      <c r="D9" s="55"/>
      <c r="E9" s="35">
        <f>IF(AND(Simulateur!$D$2=1,Simulateur!$D$3="oui"),IF(Simulateur!$D$6&lt;Feuil2!$A$10,Feuil2!$E$10,IF(Simulateur!$D$6&gt;Feuil2!$A$12,Feuil2!$E$12,Feuil2!$E$11)),0)</f>
        <v>295.62</v>
      </c>
      <c r="F9" s="35">
        <f>IF(AND(Simulateur!D2=1,Simulateur!D3="oui"),IF(Simulateur!D6&lt;Feuil2!A10,Feuil2!G10,IF(Simulateur!D6&gt;Feuil2!A12,Feuil2!G12,Feuil2!G11)),0)</f>
        <v>740.47</v>
      </c>
      <c r="G9" s="37"/>
      <c r="H9" s="35">
        <f>IF(AND(Simulateur!$D$2=1,Simulateur!$D$3="oui"),IF(Simulateur!$D$6&lt;Feuil2!$A$10,Feuil2!$E$10,IF(Simulateur!$D$6&gt;Feuil2!$A$12,Feuil2!$E$12,Feuil2!$E$11)),0)</f>
        <v>295.62</v>
      </c>
      <c r="I9" s="35">
        <f>IF(AND(Simulateur!$D$2=1,Simulateur!$D$3="oui"),IF(Simulateur!$D$6&lt;Feuil2!$A$10,Feuil2!$E$10,IF(Simulateur!$D$6&gt;Feuil2!$A$12,Feuil2!$E$12,Feuil2!$E$11)),0)</f>
        <v>295.62</v>
      </c>
      <c r="J9" s="97"/>
      <c r="K9" s="98"/>
      <c r="N9"/>
    </row>
    <row r="10" spans="2:14" s="7" customFormat="1">
      <c r="B10" s="56"/>
      <c r="C10" s="55"/>
      <c r="D10" s="55"/>
      <c r="E10" s="35">
        <f>IF(AND(Simulateur!$D$2=1,Simulateur!$D$3="non"),IF(Simulateur!$D$6&lt;Feuil2!$A$10,Feuil2!$F$10,IF(Simulateur!$D$6&gt;Feuil2!$A$12,Feuil2!$F$12,Feuil2!$F$11)),0)</f>
        <v>0</v>
      </c>
      <c r="F10" s="35">
        <f>IF(AND(Simulateur!D2=1,Simulateur!D3="non"),IF(Simulateur!D6&lt;Feuil2!A10,Feuil2!H10,IF(Simulateur!D6&gt;Feuil2!A12,Feuil2!H12,Feuil2!H11)),0)</f>
        <v>0</v>
      </c>
      <c r="G10" s="37"/>
      <c r="H10" s="35">
        <f>IF(AND(Simulateur!$D$2=1,Simulateur!$D$3="non"),IF(Simulateur!$D$6&lt;Feuil2!$A$10,Feuil2!$F$10,IF(Simulateur!$D$6&gt;Feuil2!$A$12,Feuil2!$F$12,Feuil2!$F$11)),0)</f>
        <v>0</v>
      </c>
      <c r="I10" s="35">
        <f>IF(AND(Simulateur!$D$2=1,Simulateur!$D$3="non"),IF(Simulateur!$D$6&lt;Feuil2!$A$10,Feuil2!$F$10,IF(Simulateur!$D$6&gt;Feuil2!$A$12,Feuil2!$F$12,Feuil2!$F$11)),0)</f>
        <v>0</v>
      </c>
      <c r="J10" s="97"/>
      <c r="K10" s="98"/>
      <c r="N10"/>
    </row>
    <row r="11" spans="2:14" s="7" customFormat="1">
      <c r="B11" s="56"/>
      <c r="C11" s="55"/>
      <c r="D11" s="55"/>
      <c r="E11" s="35">
        <f>IF(AND(Simulateur!$D$2=2,Simulateur!$D$3="oui"),IF(Simulateur!$D$6&lt;Feuil2!$B$10,Feuil2!$E$10,IF(Simulateur!$D$6&gt;Feuil2!$B$12,Feuil2!$E$12,Feuil2!$E$11)),0)</f>
        <v>0</v>
      </c>
      <c r="F11" s="35">
        <f>IF(AND(Simulateur!D2=2,Simulateur!D3="oui"),IF(Simulateur!D6&lt;Feuil2!B10,Feuil2!G10,IF(Simulateur!D6&gt;Feuil2!B12,Feuil2!G12,Feuil2!G11)),0)</f>
        <v>0</v>
      </c>
      <c r="G11" s="37"/>
      <c r="H11" s="35">
        <f>IF(AND(Simulateur!$D$2=2,Simulateur!$D$3="oui"),IF(Simulateur!$D$6&lt;Feuil2!$B$10,Feuil2!$E$10,IF(Simulateur!$D$6&gt;Feuil2!$B$12,Feuil2!$E$12,Feuil2!$E$11)),0)</f>
        <v>0</v>
      </c>
      <c r="I11" s="35">
        <f>IF(AND(Simulateur!$D$2=2,Simulateur!$D$3="oui"),IF(Simulateur!$D$6&lt;Feuil2!$B$10,Feuil2!$E$10,IF(Simulateur!$D$6&gt;Feuil2!$B$12,Feuil2!$E$12,Feuil2!$E$11)),0)</f>
        <v>0</v>
      </c>
      <c r="J11" s="97"/>
      <c r="K11" s="98"/>
      <c r="N11"/>
    </row>
    <row r="12" spans="2:14" s="7" customFormat="1">
      <c r="B12" s="56"/>
      <c r="C12" s="55"/>
      <c r="D12" s="55"/>
      <c r="E12" s="35">
        <f>IF(AND(Simulateur!$D$2=2,Simulateur!$D$3="non"),IF(Simulateur!$D$6&lt;Feuil2!$B$10,Feuil2!$F$10,IF(Simulateur!$D$6&gt;Feuil2!$B$12,Feuil2!$F$12,Feuil2!$F$11)),0)</f>
        <v>0</v>
      </c>
      <c r="F12" s="35">
        <f>IF(AND(Simulateur!D2=2,Simulateur!D3="non"),IF(Simulateur!D6&lt;Feuil2!B10,Feuil2!H10,IF(Simulateur!D6&gt;Feuil2!B12,Feuil2!H12,Feuil2!H11)),0)</f>
        <v>0</v>
      </c>
      <c r="G12" s="37"/>
      <c r="H12" s="35">
        <f>IF(AND(Simulateur!$D$2=2,Simulateur!$D$3="non"),IF(Simulateur!$D$6&lt;Feuil2!$B$10,Feuil2!$F$10,IF(Simulateur!$D$6&gt;Feuil2!$B$12,Feuil2!$F$12,Feuil2!$F$11)),0)</f>
        <v>0</v>
      </c>
      <c r="I12" s="35">
        <f>IF(AND(Simulateur!$D$2=2,Simulateur!$D$3="non"),IF(Simulateur!$D$6&lt;Feuil2!$B$10,Feuil2!$F$10,IF(Simulateur!$D$6&gt;Feuil2!$B$12,Feuil2!$F$12,Feuil2!$F$11)),0)</f>
        <v>0</v>
      </c>
      <c r="J12" s="97"/>
      <c r="K12" s="98"/>
      <c r="N12"/>
    </row>
    <row r="13" spans="2:14" s="7" customFormat="1">
      <c r="B13" s="56"/>
      <c r="C13" s="55"/>
      <c r="D13" s="55"/>
      <c r="E13" s="35">
        <f>IF(AND(Simulateur!$D$2=3,Simulateur!$D$3="oui"),IF(Simulateur!$D$6&lt;Feuil2!$C$10,Feuil2!$E$10,IF(Simulateur!$D$6&gt;Feuil2!$C$12,Feuil2!$E$12,Feuil2!$E$11)),0)</f>
        <v>0</v>
      </c>
      <c r="F13" s="35">
        <f>IF(AND(Simulateur!D2=3,Simulateur!D3="oui"),IF(Simulateur!D6&lt;Feuil2!C10,Feuil2!G10,IF(Simulateur!D6&gt;Feuil2!C12,Feuil2!G12,Feuil2!G11)),0)</f>
        <v>0</v>
      </c>
      <c r="G13" s="37"/>
      <c r="H13" s="35">
        <f>IF(AND(Simulateur!$D$2=3,Simulateur!$D$3="oui"),IF(Simulateur!$D$6&lt;Feuil2!$C$10,Feuil2!$E$10,IF(Simulateur!$D$6&gt;Feuil2!$C$12,Feuil2!$E$12,Feuil2!$E$11)),0)</f>
        <v>0</v>
      </c>
      <c r="I13" s="35">
        <f>IF(AND(Simulateur!$D$2=3,Simulateur!$D$3="oui"),IF(Simulateur!$D$6&lt;Feuil2!$C$10,Feuil2!$E$10,IF(Simulateur!$D$6&gt;Feuil2!$C$12,Feuil2!$E$12,Feuil2!$E$11)),0)</f>
        <v>0</v>
      </c>
      <c r="J13" s="97"/>
      <c r="K13" s="98"/>
      <c r="N13"/>
    </row>
    <row r="14" spans="2:14" s="7" customFormat="1">
      <c r="B14" s="56"/>
      <c r="C14" s="55"/>
      <c r="D14" s="55"/>
      <c r="E14" s="35">
        <f>IF(AND(Simulateur!$D$2=3,Simulateur!$D$3="non"),IF(Simulateur!$D$6&lt;Feuil2!$C$10,Feuil2!$F$10,IF(Simulateur!$D$6&gt;Feuil2!$C$12,Feuil2!$F$12,Feuil2!$F$11)),0)</f>
        <v>0</v>
      </c>
      <c r="F14" s="35">
        <f>IF(AND(Simulateur!D2=3,Simulateur!D3="non"),IF(Simulateur!D6&lt;Feuil2!C10,Feuil2!H10,IF(Simulateur!D6&gt;Feuil2!C12,Feuil2!H12,Feuil2!H11)),0)</f>
        <v>0</v>
      </c>
      <c r="G14" s="37"/>
      <c r="H14" s="35">
        <f>IF(AND(Simulateur!$D$2=3,Simulateur!$D$3="non"),IF(Simulateur!$D$6&lt;Feuil2!$C$10,Feuil2!$F$10,IF(Simulateur!$D$6&gt;Feuil2!$C$12,Feuil2!$F$12,Feuil2!$F$11)),0)</f>
        <v>0</v>
      </c>
      <c r="I14" s="35">
        <f>IF(AND(Simulateur!$D$2=3,Simulateur!$D$3="non"),IF(Simulateur!$D$6&lt;Feuil2!$C$10,Feuil2!$F$10,IF(Simulateur!$D$6&gt;Feuil2!$C$12,Feuil2!$F$12,Feuil2!$F$11)),0)</f>
        <v>0</v>
      </c>
      <c r="J14" s="97"/>
      <c r="K14" s="98"/>
      <c r="N14"/>
    </row>
    <row r="15" spans="2:14" s="7" customFormat="1">
      <c r="B15" s="56"/>
      <c r="C15" s="55"/>
      <c r="D15" s="55"/>
      <c r="E15" s="35">
        <f>IF(AND(Simulateur!$D$2&gt;=4,Simulateur!$D$3="oui"),IF(Simulateur!$D$6&lt;Feuil2!$D$10,Feuil2!$E$10,IF(Simulateur!$D$6&gt;Feuil2!$D$12,Feuil2!$E$12,Feuil2!$E$11)),0)</f>
        <v>0</v>
      </c>
      <c r="F15" s="35">
        <f>IF(AND(Simulateur!$D$2&gt;=4,Simulateur!$D$3="oui"),IF(Simulateur!$D$6&lt;Feuil2!$D$10,Feuil2!$G$10,IF(Simulateur!$D$6&gt;Feuil2!$D$12,Feuil2!$G$12,Feuil2!$G$11)),0)</f>
        <v>0</v>
      </c>
      <c r="G15" s="37"/>
      <c r="H15" s="35">
        <f>IF(AND(Simulateur!$D$2&gt;=4,Simulateur!$D$3="oui"),IF(Simulateur!$D$6&lt;Feuil2!$D$10,Feuil2!$E$10,IF(Simulateur!$D$6&gt;Feuil2!$D$12,Feuil2!$E$12,Feuil2!$E$11)),0)</f>
        <v>0</v>
      </c>
      <c r="I15" s="35">
        <f>IF(AND(Simulateur!$D$2&gt;=4,Simulateur!$D$3="oui"),IF(Simulateur!$D$6&lt;Feuil2!$D$10,Feuil2!$E$10,IF(Simulateur!$D$6&gt;Feuil2!$D$12,Feuil2!$E$12,Feuil2!$E$11)),0)</f>
        <v>0</v>
      </c>
      <c r="J15" s="97"/>
      <c r="K15" s="98"/>
      <c r="N15"/>
    </row>
    <row r="16" spans="2:14" s="7" customFormat="1">
      <c r="B16" s="56"/>
      <c r="C16" s="55"/>
      <c r="D16" s="55"/>
      <c r="E16" s="35">
        <f>IF(AND(Simulateur!$D$2&gt;=4,Simulateur!$D$3="NON"),IF(Simulateur!$D$6&lt;Feuil2!$D$10,Feuil2!$F$10,IF(Simulateur!$D$6&gt;Feuil2!$D$12,Feuil2!$F$12,Feuil2!$F$11)),0)</f>
        <v>0</v>
      </c>
      <c r="F16" s="35">
        <f>IF(AND(Simulateur!$D$2&gt;=4,Simulateur!$D$3="NON"),IF(Simulateur!$D$6&lt;Feuil2!$D$10,Feuil2!$H$10,IF(Simulateur!$D$6&gt;Feuil2!$D$12,Feuil2!$H$12,Feuil2!$H$11)),0)</f>
        <v>0</v>
      </c>
      <c r="G16" s="37"/>
      <c r="H16" s="35">
        <f>IF(AND(Simulateur!$D$2&gt;=4,Simulateur!$D$3="NON"),IF(Simulateur!$D$6&lt;Feuil2!$D$10,Feuil2!$F$10,IF(Simulateur!$D$6&gt;Feuil2!$D$12,Feuil2!$F$12,Feuil2!$F$11)),0)</f>
        <v>0</v>
      </c>
      <c r="I16" s="35">
        <f>IF(AND(Simulateur!$D$2&gt;=4,Simulateur!$D$3="NON"),IF(Simulateur!$D$6&lt;Feuil2!$D$10,Feuil2!$F$10,IF(Simulateur!$D$6&gt;Feuil2!$D$12,Feuil2!$F$12,Feuil2!$F$11)),0)</f>
        <v>0</v>
      </c>
      <c r="J16" s="97"/>
      <c r="K16" s="98"/>
      <c r="N16"/>
    </row>
    <row r="17" spans="2:14" s="7" customFormat="1">
      <c r="B17" s="56"/>
      <c r="C17" s="55"/>
      <c r="D17" s="55"/>
      <c r="E17" s="35"/>
      <c r="F17" s="35">
        <f>IF( Simulateur!E14&gt;=16,(F9+F10+F11+F12+F13+F14+F15+F16),0)</f>
        <v>0</v>
      </c>
      <c r="G17" s="37"/>
      <c r="H17" s="35"/>
      <c r="I17" s="99"/>
      <c r="J17" s="97"/>
      <c r="K17" s="98"/>
      <c r="N17"/>
    </row>
    <row r="18" spans="2:14" s="7" customFormat="1">
      <c r="C18" s="55"/>
      <c r="D18" s="55"/>
      <c r="G18" s="97"/>
      <c r="H18" s="99">
        <f>IF(Simulateur!G27*85%&lt;(H9+H10+H11+H12+H13+H14+H15+H16),-Simulateur!G27*85%,-(H9+H10+H11+H12+H13+H14+H15+H16))</f>
        <v>-295.62</v>
      </c>
      <c r="I18" s="99">
        <f>IF(Simulateur!H27*85%&lt;(I9+I10+I11+I12+I13+I14+I15+I16),-Simulateur!H27*85%,-(I9+I10+I11+I12+I13+I14+I15+I16))</f>
        <v>-295.62</v>
      </c>
      <c r="J18" s="97"/>
      <c r="K18" s="98"/>
      <c r="N18"/>
    </row>
    <row r="20" spans="2:14" s="7" customFormat="1">
      <c r="B20" s="61"/>
      <c r="C20" s="12"/>
      <c r="D20" s="12"/>
      <c r="E20" s="36">
        <f>IF((Simulateur!D2=1),IF(Simulateur!D5/12&lt;=Feuil2!A16,Feuil2!B16,IF(Simulateur!D5/12&gt;Feuil2!A18,Feuil2!B18,Feuil2!B17)),0)</f>
        <v>0</v>
      </c>
      <c r="F20" s="36">
        <f>IF((Simulateur!D2=1),IF(Simulateur!D5/12&lt;=Feuil2!A16,Feuil2!B16,IF(Simulateur!D5/12&gt;Feuil2!A18,Feuil2!B18,Feuil2!B17)),0)</f>
        <v>0</v>
      </c>
      <c r="G20" s="37"/>
      <c r="H20" s="36"/>
      <c r="I20" s="96"/>
      <c r="J20" s="97"/>
      <c r="K20" s="98"/>
      <c r="N20"/>
    </row>
    <row r="21" spans="2:14" s="7" customFormat="1">
      <c r="B21" s="61"/>
      <c r="C21" s="12"/>
      <c r="D21" s="12"/>
      <c r="E21" s="36">
        <f>IF((Simulateur!D2=2),IF(Simulateur!D5/12&lt;=Feuil2!C16,Feuil2!D16,IF(Simulateur!D5/12&gt;Feuil2!C18,Feuil2!D18,Feuil2!D17)),0)</f>
        <v>0</v>
      </c>
      <c r="F21" s="36">
        <f>IF((Simulateur!D2=2),IF(Simulateur!D5/12&lt;=Feuil2!C16,Feuil2!D16,IF(Simulateur!D5/12&gt;Feuil2!C18,Feuil2!D18,Feuil2!D17)),0)</f>
        <v>0</v>
      </c>
      <c r="G21" s="37"/>
      <c r="H21" s="36"/>
      <c r="I21" s="99"/>
      <c r="J21" s="97"/>
      <c r="K21" s="98"/>
      <c r="N21"/>
    </row>
    <row r="22" spans="2:14" s="7" customFormat="1">
      <c r="B22" s="61"/>
      <c r="C22" s="12"/>
      <c r="D22" s="12"/>
      <c r="E22" s="36">
        <f>IF((Simulateur!D2&gt;=3),IF(Simulateur!D5/12&lt;=Feuil2!E16,Feuil2!F16,0),0)</f>
        <v>0</v>
      </c>
      <c r="F22" s="36">
        <f>IF((Simulateur!$D$2&gt;=3),IF(Simulateur!D5/12&lt;=Feuil2!E16,Feuil2!F16,0),0)</f>
        <v>0</v>
      </c>
      <c r="G22" s="37"/>
      <c r="H22" s="36"/>
      <c r="I22" s="35"/>
      <c r="J22" s="97"/>
      <c r="K22" s="98"/>
      <c r="N22"/>
    </row>
    <row r="23" spans="2:14" s="7" customFormat="1">
      <c r="B23" s="56"/>
      <c r="C23" s="55"/>
      <c r="D23" s="55"/>
      <c r="E23" s="36">
        <f>SUM(E20:E22)</f>
        <v>0</v>
      </c>
      <c r="F23" s="36">
        <f>SUM(F20:F22)</f>
        <v>0</v>
      </c>
      <c r="G23" s="37"/>
      <c r="H23" s="36"/>
      <c r="I23" s="99"/>
      <c r="J23" s="37"/>
      <c r="K23" s="70"/>
      <c r="N23"/>
    </row>
    <row r="24" spans="2:14" s="7" customFormat="1">
      <c r="B24" s="61"/>
      <c r="C24" s="55"/>
      <c r="D24" s="55"/>
      <c r="E24" s="35"/>
      <c r="F24" s="35"/>
      <c r="G24" s="37"/>
      <c r="H24" s="36"/>
      <c r="I24" s="100"/>
      <c r="J24" s="97"/>
      <c r="K24" s="70"/>
      <c r="N24"/>
    </row>
    <row r="25" spans="2:14" s="7" customFormat="1">
      <c r="B25" s="102"/>
      <c r="C25" s="55"/>
      <c r="D25" s="103"/>
      <c r="E25" s="38">
        <f>IF(Simulateur!D4="non",IF((Simulateur!D14+Simulateur!D15)&lt;120,0,-E23),IF((Simulateur!D14+Simulateur!D15)&lt;60,0,-E23/2))</f>
        <v>0</v>
      </c>
      <c r="F25" s="38">
        <f>IF(Simulateur!D4="non",IF((Simulateur!E14+Simulateur!E15)&lt;120,0,-F23),IF((Simulateur!E14+Simulateur!E15)&lt;60,0,-F23/2))</f>
        <v>0</v>
      </c>
      <c r="G25" s="52"/>
      <c r="H25" s="39"/>
      <c r="I25" s="100"/>
      <c r="J25" s="101"/>
      <c r="K25" s="70"/>
      <c r="N25"/>
    </row>
    <row r="26" spans="2:14" s="7" customFormat="1">
      <c r="B26" s="61"/>
      <c r="C26" s="12"/>
      <c r="D26" s="104"/>
      <c r="E26" s="39" t="e">
        <f>IF(Simulateur!#REF!="oui",E25,0)</f>
        <v>#REF!</v>
      </c>
      <c r="F26" s="39" t="e">
        <f>IF(Simulateur!#REF!="oui",F25,0)</f>
        <v>#REF!</v>
      </c>
      <c r="G26" s="52"/>
      <c r="H26" s="39"/>
      <c r="I26" s="100"/>
      <c r="J26" s="101"/>
      <c r="K26" s="70"/>
      <c r="N26"/>
    </row>
    <row r="28" spans="2:14" s="7" customFormat="1">
      <c r="B28" s="61"/>
      <c r="C28" s="106"/>
      <c r="D28" s="107"/>
      <c r="E28" s="40"/>
      <c r="F28" s="40"/>
      <c r="G28" s="27"/>
      <c r="H28" s="40"/>
      <c r="I28" s="108"/>
      <c r="J28" s="101"/>
      <c r="K28" s="109">
        <f>IF((Simulateur!D2=1),IF(Simulateur!D5/12*Feuil2!D37&gt;Feuil2!B37,Feuil2!B37*Simulateur!J15,IF(Simulateur!D5/12*Feuil2!D37&lt;Feuil2!C37,Feuil2!C37*Simulateur!J15,Simulateur!D5/12*Feuil2!D37*Simulateur!J15)),0)</f>
        <v>501.32</v>
      </c>
      <c r="N28"/>
    </row>
    <row r="29" spans="2:14" s="7" customFormat="1">
      <c r="B29" s="110"/>
      <c r="C29" s="106"/>
      <c r="D29" s="107"/>
      <c r="E29" s="40"/>
      <c r="F29" s="40"/>
      <c r="G29" s="27"/>
      <c r="H29" s="40"/>
      <c r="I29" s="108"/>
      <c r="J29" s="19"/>
      <c r="K29" s="109">
        <f>IF((Simulateur!D2=2),IF(Simulateur!D5/12*Feuil2!D38&gt;Feuil2!B38,Feuil2!B38*Simulateur!J15,IF(Simulateur!D5/12*Feuil2!D38&lt;Feuil2!C38,Feuil2!C38*Simulateur!J15,Simulateur!D5/12*Feuil2!D38*Simulateur!J15)),0)</f>
        <v>0</v>
      </c>
      <c r="N29"/>
    </row>
    <row r="30" spans="2:14" s="7" customFormat="1" ht="11.25">
      <c r="B30" s="110"/>
      <c r="C30" s="106"/>
      <c r="D30" s="107"/>
      <c r="E30" s="40"/>
      <c r="F30" s="40"/>
      <c r="G30" s="27"/>
      <c r="H30" s="40"/>
      <c r="I30" s="108"/>
      <c r="J30" s="19"/>
      <c r="K30" s="109">
        <f>IF((Simulateur!D2=3),IF(Simulateur!D5/12*Feuil2!D39&gt;Feuil2!B39,Feuil2!B39*Simulateur!J15,IF(Simulateur!D5/12*Feuil2!D39&lt;Feuil2!C39,Feuil2!C39*Simulateur!J15,Simulateur!D5/12*Feuil2!D39*Simulateur!J15)),0)</f>
        <v>0</v>
      </c>
    </row>
    <row r="31" spans="2:14" s="7" customFormat="1" ht="11.25">
      <c r="B31" s="110"/>
      <c r="C31" s="106"/>
      <c r="D31" s="107"/>
      <c r="E31" s="40"/>
      <c r="F31" s="40"/>
      <c r="G31" s="27"/>
      <c r="H31" s="40"/>
      <c r="I31" s="108"/>
      <c r="J31" s="19"/>
      <c r="K31" s="109">
        <f>IF((Simulateur!D2&gt;3),IF(Simulateur!D5/12*Feuil2!D40&gt;Feuil2!B40,Feuil2!B40*Simulateur!J15,IF(Simulateur!D5/12*Feuil2!D40&lt;Feuil2!C40,Feuil2!C40*Simulateur!J15,Simulateur!D5/12*Feuil2!D40*Simulateur!J15)),0)</f>
        <v>0</v>
      </c>
    </row>
    <row r="32" spans="2:14" ht="15" customHeight="1"/>
    <row r="33" spans="2:11" s="7" customFormat="1" ht="11.25">
      <c r="B33" s="66"/>
      <c r="C33" s="12"/>
      <c r="D33" s="12"/>
      <c r="E33" s="32"/>
      <c r="F33" s="32"/>
      <c r="G33" s="27"/>
      <c r="H33" s="116">
        <f>Simulateur!G60-Simulateur!G13*Simulateur!G19+Simulateur!G13*2.65</f>
        <v>3859.66</v>
      </c>
      <c r="I33" s="116">
        <f>Simulateur!H60-Simulateur!H13*Simulateur!H19+Simulateur!H13*2.65</f>
        <v>7567.44</v>
      </c>
      <c r="J33" s="115"/>
      <c r="K33" s="116"/>
    </row>
    <row r="34" spans="2:11" s="7" customFormat="1" ht="11.25">
      <c r="B34" s="117" t="s">
        <v>7</v>
      </c>
      <c r="C34" s="106"/>
      <c r="D34" s="106"/>
      <c r="E34" s="50">
        <f>Simulateur!D8</f>
        <v>4000</v>
      </c>
      <c r="F34" s="50">
        <f>Simulateur!D8</f>
        <v>4000</v>
      </c>
      <c r="G34" s="24"/>
      <c r="H34" s="50">
        <f>Simulateur!D8</f>
        <v>4000</v>
      </c>
      <c r="I34" s="50">
        <f>Simulateur!D8</f>
        <v>4000</v>
      </c>
      <c r="J34" s="115"/>
      <c r="K34" s="50">
        <f>Simulateur!D8</f>
        <v>4000</v>
      </c>
    </row>
    <row r="35" spans="2:11" s="7" customFormat="1" ht="11.25">
      <c r="B35" s="57" t="s">
        <v>32</v>
      </c>
      <c r="C35" s="11"/>
      <c r="D35" s="11"/>
      <c r="E35" s="49">
        <f>IF((Simulateur!D2=1),IF(Simulateur!D60&gt;Feuil2!F21,-Feuil2!F21/2,-(Simulateur!D60)/2),IF((Simulateur!D60)&gt;Feuil2!F22,-Feuil2!F22/2,-(Simulateur!D60)/2))</f>
        <v>-4759.1400000000003</v>
      </c>
      <c r="F35" s="49">
        <f>IF((Simulateur!D2=1),IF(Simulateur!E60&gt;Feuil2!F21,-Feuil2!F21/2,-Simulateur!E60/2),IF(Simulateur!E60&gt;Feuil2!F22,-Feuil2!F22/2,-Simulateur!E60/2))</f>
        <v>0</v>
      </c>
      <c r="G35" s="37"/>
      <c r="H35" s="118">
        <f>IF(H33&gt;Feuil2!C27,-(Feuil2!C27)/2,-H33/2)</f>
        <v>-1150</v>
      </c>
      <c r="I35" s="118">
        <f>IF(I33&gt;Feuil2!C27,-(Feuil2!C27)/2,-I33/2)</f>
        <v>-1150</v>
      </c>
      <c r="J35" s="24"/>
      <c r="K35" s="118">
        <f>IF(Simulateur!J60&gt;Feuil2!C27,-(Feuil2!C27)/2,-Simulateur!J60/2)</f>
        <v>-1150</v>
      </c>
    </row>
    <row r="36" spans="2:11" s="7" customFormat="1" ht="11.25">
      <c r="B36" s="61"/>
      <c r="C36" s="55"/>
      <c r="D36" s="55"/>
      <c r="E36" s="35">
        <f>IF(-E35&gt;E34,E34,-E35)</f>
        <v>4000</v>
      </c>
      <c r="F36" s="35">
        <f>IF(-F35&gt;F34,F34,-F35)</f>
        <v>0</v>
      </c>
      <c r="G36" s="37"/>
      <c r="H36" s="36"/>
      <c r="I36" s="36"/>
      <c r="J36" s="119"/>
      <c r="K36" s="36"/>
    </row>
    <row r="37" spans="2:11" s="7" customFormat="1" ht="11.25">
      <c r="B37" s="102" t="s">
        <v>42</v>
      </c>
      <c r="C37" s="12"/>
      <c r="D37" s="12"/>
      <c r="E37" s="36">
        <f>-E36</f>
        <v>-4000</v>
      </c>
      <c r="F37" s="36">
        <f>-F36</f>
        <v>0</v>
      </c>
      <c r="G37" s="37"/>
      <c r="H37" s="36"/>
      <c r="I37" s="36"/>
      <c r="J37" s="37"/>
      <c r="K37" s="36"/>
    </row>
  </sheetData>
  <sheetProtection password="E32B" sheet="1"/>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dimension ref="A1:J27"/>
  <sheetViews>
    <sheetView workbookViewId="0">
      <selection activeCell="E19" sqref="E19"/>
    </sheetView>
  </sheetViews>
  <sheetFormatPr baseColWidth="10" defaultRowHeight="15"/>
  <cols>
    <col min="1" max="1" width="23.42578125" customWidth="1"/>
    <col min="5" max="5" width="11.5703125" bestFit="1" customWidth="1"/>
    <col min="7" max="7" width="11.5703125" bestFit="1" customWidth="1"/>
  </cols>
  <sheetData>
    <row r="1" spans="1:10">
      <c r="A1" t="s">
        <v>131</v>
      </c>
      <c r="B1" s="153">
        <f>Simulateur!D18</f>
        <v>1138.8</v>
      </c>
      <c r="C1">
        <f>Simulateur!D15*ROUND(Simulateur!D12*125%,2)</f>
        <v>234</v>
      </c>
    </row>
    <row r="2" spans="1:10">
      <c r="A2" s="277" t="s">
        <v>132</v>
      </c>
      <c r="B2" s="447">
        <f>E27</f>
        <v>0.41909999999999997</v>
      </c>
    </row>
    <row r="3" spans="1:10" ht="15.75" thickBot="1">
      <c r="A3" s="277" t="s">
        <v>134</v>
      </c>
      <c r="B3" s="447">
        <f>G27</f>
        <v>0.33629999999999999</v>
      </c>
    </row>
    <row r="4" spans="1:10">
      <c r="A4" s="297" t="s">
        <v>113</v>
      </c>
      <c r="B4" s="298"/>
      <c r="C4" s="299"/>
      <c r="D4" s="300">
        <f>$B$1*98.25%</f>
        <v>1118.8699999999999</v>
      </c>
      <c r="E4" s="301"/>
      <c r="F4" s="302"/>
      <c r="G4" s="472">
        <v>6.8000000000000005E-2</v>
      </c>
      <c r="H4" s="303">
        <f>D4*G4</f>
        <v>76.08</v>
      </c>
    </row>
    <row r="5" spans="1:10">
      <c r="A5" s="278" t="s">
        <v>114</v>
      </c>
      <c r="B5" s="279"/>
      <c r="C5" s="280"/>
      <c r="D5" s="281">
        <f>$B$1*98.25%</f>
        <v>1118.8699999999999</v>
      </c>
      <c r="E5" s="282"/>
      <c r="F5" s="283"/>
      <c r="G5" s="444">
        <v>2.4E-2</v>
      </c>
      <c r="H5" s="285">
        <f>D5*G5</f>
        <v>26.85</v>
      </c>
    </row>
    <row r="6" spans="1:10">
      <c r="A6" s="278" t="s">
        <v>115</v>
      </c>
      <c r="B6" s="279"/>
      <c r="C6" s="280"/>
      <c r="D6" s="281">
        <f>$B$1*98.25%</f>
        <v>1118.8699999999999</v>
      </c>
      <c r="E6" s="455"/>
      <c r="F6" s="456"/>
      <c r="G6" s="444">
        <v>5.0000000000000001E-3</v>
      </c>
      <c r="H6" s="285">
        <f>D6*G6</f>
        <v>5.59</v>
      </c>
    </row>
    <row r="7" spans="1:10">
      <c r="A7" s="278" t="s">
        <v>116</v>
      </c>
      <c r="B7" s="279"/>
      <c r="C7" s="280"/>
      <c r="D7" s="281">
        <f>$B$1</f>
        <v>1138.8</v>
      </c>
      <c r="E7" s="444">
        <v>0.13</v>
      </c>
      <c r="F7" s="456">
        <f>ROUND(D7*E7,2)</f>
        <v>148.04</v>
      </c>
      <c r="G7" s="444">
        <v>0</v>
      </c>
      <c r="H7" s="285">
        <f t="shared" ref="H7:H17" si="0">D7*G7</f>
        <v>0</v>
      </c>
    </row>
    <row r="8" spans="1:10">
      <c r="A8" s="278" t="s">
        <v>117</v>
      </c>
      <c r="B8" s="279"/>
      <c r="C8" s="280"/>
      <c r="D8" s="281">
        <f t="shared" ref="D8:D21" si="1">$B$1</f>
        <v>1138.8</v>
      </c>
      <c r="E8" s="444">
        <v>8.5500000000000007E-2</v>
      </c>
      <c r="F8" s="456">
        <f t="shared" ref="F8:F20" si="2">ROUND(D8*E8,2)</f>
        <v>97.37</v>
      </c>
      <c r="G8" s="444">
        <v>6.9000000000000006E-2</v>
      </c>
      <c r="H8" s="285">
        <f t="shared" si="0"/>
        <v>78.58</v>
      </c>
    </row>
    <row r="9" spans="1:10">
      <c r="A9" s="278"/>
      <c r="B9" s="279"/>
      <c r="C9" s="280"/>
      <c r="D9" s="281">
        <f t="shared" si="1"/>
        <v>1138.8</v>
      </c>
      <c r="E9" s="444">
        <v>1.9E-2</v>
      </c>
      <c r="F9" s="456">
        <f t="shared" si="2"/>
        <v>21.64</v>
      </c>
      <c r="G9" s="444">
        <v>4.0000000000000001E-3</v>
      </c>
      <c r="H9" s="285">
        <f t="shared" si="0"/>
        <v>4.5599999999999996</v>
      </c>
      <c r="I9" s="478">
        <f>SUM(H8:H9)</f>
        <v>83.14</v>
      </c>
    </row>
    <row r="10" spans="1:10">
      <c r="A10" s="278" t="s">
        <v>118</v>
      </c>
      <c r="B10" s="279"/>
      <c r="C10" s="280"/>
      <c r="D10" s="281">
        <f t="shared" si="1"/>
        <v>1138.8</v>
      </c>
      <c r="E10" s="444">
        <v>3.9399999999999998E-2</v>
      </c>
      <c r="F10" s="456">
        <f t="shared" si="2"/>
        <v>44.87</v>
      </c>
      <c r="G10" s="444">
        <v>3.9300000000000002E-2</v>
      </c>
      <c r="H10" s="285">
        <f t="shared" si="0"/>
        <v>44.75</v>
      </c>
    </row>
    <row r="11" spans="1:10">
      <c r="A11" s="278" t="s">
        <v>119</v>
      </c>
      <c r="B11" s="279"/>
      <c r="C11" s="280"/>
      <c r="D11" s="281">
        <f t="shared" si="1"/>
        <v>1138.8</v>
      </c>
      <c r="E11" s="444">
        <v>4.0500000000000001E-2</v>
      </c>
      <c r="F11" s="456">
        <f t="shared" si="2"/>
        <v>46.12</v>
      </c>
      <c r="G11" s="444"/>
      <c r="H11" s="285">
        <f t="shared" si="0"/>
        <v>0</v>
      </c>
    </row>
    <row r="12" spans="1:10">
      <c r="A12" s="278" t="s">
        <v>120</v>
      </c>
      <c r="B12" s="279"/>
      <c r="C12" s="280"/>
      <c r="D12" s="281">
        <f t="shared" si="1"/>
        <v>1138.8</v>
      </c>
      <c r="E12" s="444">
        <v>1.29E-2</v>
      </c>
      <c r="F12" s="456">
        <f t="shared" si="2"/>
        <v>14.69</v>
      </c>
      <c r="G12" s="444">
        <v>8.6E-3</v>
      </c>
      <c r="H12" s="285">
        <f t="shared" si="0"/>
        <v>9.7899999999999991</v>
      </c>
    </row>
    <row r="13" spans="1:10" s="483" customFormat="1" ht="14.25">
      <c r="A13" s="287" t="s">
        <v>156</v>
      </c>
      <c r="B13" s="288"/>
      <c r="C13" s="479"/>
      <c r="D13" s="480">
        <f>C1</f>
        <v>234</v>
      </c>
      <c r="E13" s="481"/>
      <c r="F13" s="482"/>
      <c r="G13" s="481">
        <v>0.11310000000000001</v>
      </c>
      <c r="H13" s="289">
        <f>-IF(I9&lt;I13,I9,I13)</f>
        <v>-26.47</v>
      </c>
      <c r="I13" s="483">
        <f>ROUND(D13*G13,2)</f>
        <v>26.47</v>
      </c>
    </row>
    <row r="14" spans="1:10">
      <c r="A14" s="278" t="s">
        <v>121</v>
      </c>
      <c r="B14" s="280"/>
      <c r="C14" s="280"/>
      <c r="D14" s="281">
        <f t="shared" si="1"/>
        <v>1138.8</v>
      </c>
      <c r="E14" s="444">
        <v>5.2499999999999998E-2</v>
      </c>
      <c r="F14" s="456">
        <f t="shared" si="2"/>
        <v>59.79</v>
      </c>
      <c r="G14" s="444"/>
      <c r="H14" s="285">
        <f t="shared" si="0"/>
        <v>0</v>
      </c>
    </row>
    <row r="15" spans="1:10">
      <c r="A15" s="278" t="s">
        <v>122</v>
      </c>
      <c r="B15" s="280"/>
      <c r="C15" s="280"/>
      <c r="D15" s="281">
        <f t="shared" si="1"/>
        <v>1138.8</v>
      </c>
      <c r="E15" s="444">
        <v>0.02</v>
      </c>
      <c r="F15" s="456">
        <f t="shared" si="2"/>
        <v>22.78</v>
      </c>
      <c r="G15" s="444"/>
      <c r="H15" s="285">
        <f t="shared" si="0"/>
        <v>0</v>
      </c>
      <c r="J15" s="458"/>
    </row>
    <row r="16" spans="1:10">
      <c r="A16" s="278" t="s">
        <v>123</v>
      </c>
      <c r="B16" s="280"/>
      <c r="C16" s="280"/>
      <c r="D16" s="281">
        <f t="shared" si="1"/>
        <v>1138.8</v>
      </c>
      <c r="E16" s="444">
        <v>1E-3</v>
      </c>
      <c r="F16" s="456">
        <f t="shared" si="2"/>
        <v>1.1399999999999999</v>
      </c>
      <c r="G16" s="444"/>
      <c r="H16" s="285">
        <f t="shared" si="0"/>
        <v>0</v>
      </c>
    </row>
    <row r="17" spans="1:8">
      <c r="A17" s="278" t="s">
        <v>124</v>
      </c>
      <c r="B17" s="279"/>
      <c r="C17" s="280"/>
      <c r="D17" s="281">
        <f t="shared" si="1"/>
        <v>1138.8</v>
      </c>
      <c r="E17" s="444">
        <v>9.5999999999999992E-3</v>
      </c>
      <c r="F17" s="456">
        <f t="shared" si="2"/>
        <v>10.93</v>
      </c>
      <c r="G17" s="444">
        <v>7.0000000000000001E-3</v>
      </c>
      <c r="H17" s="285">
        <f t="shared" si="0"/>
        <v>7.97</v>
      </c>
    </row>
    <row r="18" spans="1:8">
      <c r="A18" s="278" t="s">
        <v>125</v>
      </c>
      <c r="B18" s="280"/>
      <c r="C18" s="280"/>
      <c r="D18" s="281">
        <f t="shared" si="1"/>
        <v>1138.8</v>
      </c>
      <c r="E18" s="444">
        <v>5.4999999999999997E-3</v>
      </c>
      <c r="F18" s="283">
        <f t="shared" si="2"/>
        <v>6.26</v>
      </c>
      <c r="G18" s="284"/>
      <c r="H18" s="285"/>
    </row>
    <row r="19" spans="1:8">
      <c r="A19" s="278" t="s">
        <v>126</v>
      </c>
      <c r="B19" s="280"/>
      <c r="C19" s="280"/>
      <c r="D19" s="281">
        <f t="shared" si="1"/>
        <v>1138.8</v>
      </c>
      <c r="E19" s="444">
        <v>1.6000000000000001E-4</v>
      </c>
      <c r="F19" s="283">
        <f t="shared" si="2"/>
        <v>0.18</v>
      </c>
      <c r="G19" s="284"/>
      <c r="H19" s="285"/>
    </row>
    <row r="20" spans="1:8">
      <c r="A20" s="278" t="s">
        <v>127</v>
      </c>
      <c r="B20" s="280"/>
      <c r="C20" s="280"/>
      <c r="D20" s="281">
        <f t="shared" si="1"/>
        <v>1138.8</v>
      </c>
      <c r="E20" s="444">
        <v>3.0000000000000001E-3</v>
      </c>
      <c r="F20" s="283">
        <f t="shared" si="2"/>
        <v>3.42</v>
      </c>
      <c r="G20" s="282"/>
      <c r="H20" s="285"/>
    </row>
    <row r="21" spans="1:8">
      <c r="A21" s="287" t="s">
        <v>128</v>
      </c>
      <c r="B21" s="288"/>
      <c r="C21" s="280"/>
      <c r="D21" s="281">
        <f t="shared" si="1"/>
        <v>1138.8</v>
      </c>
      <c r="E21" s="282"/>
      <c r="F21" s="289">
        <f>(SUM(F7:F20))</f>
        <v>477.23</v>
      </c>
      <c r="G21" s="282"/>
      <c r="H21" s="289">
        <f>SUM(H4:H17)</f>
        <v>227.7</v>
      </c>
    </row>
    <row r="22" spans="1:8">
      <c r="A22" s="287" t="s">
        <v>129</v>
      </c>
      <c r="B22" s="288"/>
      <c r="C22" s="280"/>
      <c r="D22" s="281"/>
      <c r="E22" s="282"/>
      <c r="F22" s="290">
        <f>'1'!E37</f>
        <v>174.75</v>
      </c>
      <c r="G22" s="282"/>
      <c r="H22" s="289"/>
    </row>
    <row r="23" spans="1:8" ht="15.75" thickBot="1">
      <c r="A23" s="291" t="s">
        <v>130</v>
      </c>
      <c r="B23" s="292"/>
      <c r="C23" s="293"/>
      <c r="D23" s="294"/>
      <c r="E23" s="295"/>
      <c r="F23" s="296">
        <f>F21-F22</f>
        <v>302.48</v>
      </c>
      <c r="G23" s="295"/>
      <c r="H23" s="296"/>
    </row>
    <row r="24" spans="1:8">
      <c r="G24" s="446">
        <f>SUM(G7:G9)</f>
        <v>7.2999999999999995E-2</v>
      </c>
    </row>
    <row r="25" spans="1:8">
      <c r="A25" s="451" t="s">
        <v>135</v>
      </c>
      <c r="E25" s="446">
        <f>SUM(E7:E9,E14:E15)</f>
        <v>0.307</v>
      </c>
      <c r="G25" s="446">
        <f>SUM(G10:G17)</f>
        <v>0.16800000000000001</v>
      </c>
    </row>
    <row r="26" spans="1:8" ht="15.75" thickBot="1">
      <c r="A26" s="451" t="s">
        <v>136</v>
      </c>
      <c r="E26" s="446">
        <f>SUM(E10:E12,E16:E20)</f>
        <v>0.11206000000000001</v>
      </c>
      <c r="G26" s="446">
        <f>SUM(G24:G25)</f>
        <v>0.24099999999999999</v>
      </c>
    </row>
    <row r="27" spans="1:8" ht="15.75" thickBot="1">
      <c r="D27" s="452" t="s">
        <v>138</v>
      </c>
      <c r="E27" s="453">
        <f>SUM(E25:E26)</f>
        <v>0.41909999999999997</v>
      </c>
      <c r="G27" s="454">
        <f>SUM(G4:G6)*98.25%+G26</f>
        <v>0.33629999999999999</v>
      </c>
    </row>
  </sheetData>
  <sheetProtection password="E32B" sheet="1" objects="1" scenarios="1"/>
  <pageMargins left="0.7" right="0.7" top="0.75" bottom="0.75" header="0.3" footer="0.3"/>
  <pageSetup paperSize="9" orientation="portrait" verticalDpi="0" r:id="rId1"/>
</worksheet>
</file>

<file path=xl/worksheets/sheet6.xml><?xml version="1.0" encoding="utf-8"?>
<worksheet xmlns="http://schemas.openxmlformats.org/spreadsheetml/2006/main" xmlns:r="http://schemas.openxmlformats.org/officeDocument/2006/relationships">
  <dimension ref="A1:R28"/>
  <sheetViews>
    <sheetView workbookViewId="0">
      <selection activeCell="E21" sqref="E21"/>
    </sheetView>
  </sheetViews>
  <sheetFormatPr baseColWidth="10" defaultRowHeight="15"/>
  <cols>
    <col min="1" max="1" width="24.28515625" customWidth="1"/>
    <col min="7" max="7" width="11.5703125" bestFit="1" customWidth="1"/>
  </cols>
  <sheetData>
    <row r="1" spans="1:18">
      <c r="A1" s="277" t="s">
        <v>131</v>
      </c>
      <c r="B1" s="153">
        <f>Simulateur!G18</f>
        <v>784.4</v>
      </c>
      <c r="C1">
        <f>(Simulateur!G12*Simulateur!G16)+ROUND(Simulateur!G15*Simulateur!G12*(1+Simulateur!G17),2)</f>
        <v>4.4000000000000004</v>
      </c>
      <c r="K1" s="277" t="s">
        <v>131</v>
      </c>
      <c r="L1" s="153">
        <f>Simulateur!H18</f>
        <v>1103.3</v>
      </c>
    </row>
    <row r="2" spans="1:18">
      <c r="A2" s="277"/>
    </row>
    <row r="3" spans="1:18">
      <c r="C3" s="277"/>
      <c r="O3" s="458"/>
    </row>
    <row r="5" spans="1:18" ht="15.75" thickBot="1"/>
    <row r="6" spans="1:18" ht="15.75" thickBot="1">
      <c r="A6" s="297" t="s">
        <v>113</v>
      </c>
      <c r="B6" s="298"/>
      <c r="C6" s="299"/>
      <c r="D6" s="300">
        <f>$B$1*98.25%</f>
        <v>770.67</v>
      </c>
      <c r="E6" s="301"/>
      <c r="F6" s="302"/>
      <c r="G6" s="459">
        <v>6.8000000000000005E-2</v>
      </c>
      <c r="H6" s="305">
        <f>D6*G6</f>
        <v>52.41</v>
      </c>
      <c r="K6" s="297" t="s">
        <v>113</v>
      </c>
      <c r="L6" s="298"/>
      <c r="M6" s="299"/>
      <c r="N6" s="300">
        <f>$L$1*98.25%</f>
        <v>1083.99</v>
      </c>
      <c r="O6" s="301"/>
      <c r="P6" s="302"/>
      <c r="Q6" s="459">
        <v>6.8000000000000005E-2</v>
      </c>
      <c r="R6" s="305">
        <f>N6*Q6</f>
        <v>73.709999999999994</v>
      </c>
    </row>
    <row r="7" spans="1:18" ht="15.75" thickBot="1">
      <c r="A7" s="278" t="s">
        <v>114</v>
      </c>
      <c r="B7" s="279"/>
      <c r="C7" s="280"/>
      <c r="D7" s="281">
        <f>$B$1*98.25%</f>
        <v>770.67</v>
      </c>
      <c r="E7" s="282"/>
      <c r="F7" s="283"/>
      <c r="G7" s="284">
        <v>2.4E-2</v>
      </c>
      <c r="H7" s="304">
        <f>D7*G7</f>
        <v>18.5</v>
      </c>
      <c r="K7" s="278" t="s">
        <v>114</v>
      </c>
      <c r="L7" s="279"/>
      <c r="M7" s="280"/>
      <c r="N7" s="300">
        <f>$L$1*98.25%</f>
        <v>1083.99</v>
      </c>
      <c r="O7" s="282"/>
      <c r="P7" s="283"/>
      <c r="Q7" s="284">
        <v>2.4E-2</v>
      </c>
      <c r="R7" s="304">
        <f>N7*Q7</f>
        <v>26.02</v>
      </c>
    </row>
    <row r="8" spans="1:18">
      <c r="A8" s="278" t="s">
        <v>115</v>
      </c>
      <c r="B8" s="279"/>
      <c r="C8" s="280"/>
      <c r="D8" s="281">
        <f>$B$1*98.25%</f>
        <v>770.67</v>
      </c>
      <c r="E8" s="455"/>
      <c r="F8" s="456"/>
      <c r="G8" s="444">
        <v>5.0000000000000001E-3</v>
      </c>
      <c r="H8" s="457">
        <f>D8*G8</f>
        <v>3.85</v>
      </c>
      <c r="K8" s="278" t="s">
        <v>115</v>
      </c>
      <c r="L8" s="279"/>
      <c r="M8" s="280"/>
      <c r="N8" s="300">
        <f>$L$1*98.25%</f>
        <v>1083.99</v>
      </c>
      <c r="O8" s="455"/>
      <c r="P8" s="456"/>
      <c r="Q8" s="444">
        <v>5.0000000000000001E-3</v>
      </c>
      <c r="R8" s="457">
        <f>N8*Q8</f>
        <v>5.42</v>
      </c>
    </row>
    <row r="9" spans="1:18">
      <c r="A9" s="278" t="s">
        <v>116</v>
      </c>
      <c r="B9" s="279"/>
      <c r="C9" s="280"/>
      <c r="D9" s="281">
        <f>$B$1</f>
        <v>784.4</v>
      </c>
      <c r="E9" s="443">
        <v>0.13</v>
      </c>
      <c r="F9" s="456">
        <f>ROUND(D9*E9,2)</f>
        <v>101.97</v>
      </c>
      <c r="G9" s="443">
        <v>0</v>
      </c>
      <c r="H9" s="457">
        <f t="shared" ref="H9:H19" si="0">D9*G9</f>
        <v>0</v>
      </c>
      <c r="K9" s="278" t="s">
        <v>116</v>
      </c>
      <c r="L9" s="279"/>
      <c r="M9" s="280"/>
      <c r="N9" s="281">
        <f t="shared" ref="N9:N23" si="1">$L$1</f>
        <v>1103.3</v>
      </c>
      <c r="O9" s="443">
        <v>0.13</v>
      </c>
      <c r="P9" s="456">
        <f>ROUND(N9*O9,2)</f>
        <v>143.43</v>
      </c>
      <c r="Q9" s="443">
        <v>0</v>
      </c>
      <c r="R9" s="457">
        <f t="shared" ref="R9:R19" si="2">N9*Q9</f>
        <v>0</v>
      </c>
    </row>
    <row r="10" spans="1:18">
      <c r="A10" s="278" t="s">
        <v>117</v>
      </c>
      <c r="B10" s="279"/>
      <c r="C10" s="280"/>
      <c r="D10" s="281">
        <f t="shared" ref="D10:D23" si="3">$B$1</f>
        <v>784.4</v>
      </c>
      <c r="E10" s="444">
        <v>8.5500000000000007E-2</v>
      </c>
      <c r="F10" s="456">
        <f>ROUND(D10*E10,2)</f>
        <v>67.069999999999993</v>
      </c>
      <c r="G10" s="444">
        <v>6.9000000000000006E-2</v>
      </c>
      <c r="H10" s="457">
        <f t="shared" si="0"/>
        <v>54.12</v>
      </c>
      <c r="I10" s="478">
        <f>H10:H11</f>
        <v>54.12</v>
      </c>
      <c r="K10" s="278" t="s">
        <v>117</v>
      </c>
      <c r="L10" s="279"/>
      <c r="M10" s="280"/>
      <c r="N10" s="281">
        <f t="shared" si="1"/>
        <v>1103.3</v>
      </c>
      <c r="O10" s="444">
        <v>8.5500000000000007E-2</v>
      </c>
      <c r="P10" s="456">
        <f>ROUND(N10*O10,2)</f>
        <v>94.33</v>
      </c>
      <c r="Q10" s="444">
        <v>6.9000000000000006E-2</v>
      </c>
      <c r="R10" s="457">
        <f t="shared" si="2"/>
        <v>76.13</v>
      </c>
    </row>
    <row r="11" spans="1:18">
      <c r="A11" s="286"/>
      <c r="B11" s="279"/>
      <c r="C11" s="280"/>
      <c r="D11" s="281">
        <f t="shared" si="3"/>
        <v>784.4</v>
      </c>
      <c r="E11" s="444">
        <v>1.9E-2</v>
      </c>
      <c r="F11" s="456">
        <f t="shared" ref="F11:F22" si="4">ROUND(D11*E11,2)</f>
        <v>14.9</v>
      </c>
      <c r="G11" s="444">
        <v>4.0000000000000001E-3</v>
      </c>
      <c r="H11" s="457">
        <f t="shared" si="0"/>
        <v>3.14</v>
      </c>
      <c r="K11" s="286"/>
      <c r="L11" s="279"/>
      <c r="M11" s="280"/>
      <c r="N11" s="281">
        <f t="shared" si="1"/>
        <v>1103.3</v>
      </c>
      <c r="O11" s="444">
        <v>1.9E-2</v>
      </c>
      <c r="P11" s="456">
        <f t="shared" ref="P11:P22" si="5">ROUND(N11*O11,2)</f>
        <v>20.96</v>
      </c>
      <c r="Q11" s="444">
        <v>4.0000000000000001E-3</v>
      </c>
      <c r="R11" s="457">
        <f t="shared" si="2"/>
        <v>4.41</v>
      </c>
    </row>
    <row r="12" spans="1:18">
      <c r="A12" s="278" t="s">
        <v>118</v>
      </c>
      <c r="B12" s="279"/>
      <c r="C12" s="280"/>
      <c r="D12" s="281">
        <f t="shared" si="3"/>
        <v>784.4</v>
      </c>
      <c r="E12" s="443">
        <v>4.7199999999999999E-2</v>
      </c>
      <c r="F12" s="456">
        <f t="shared" si="4"/>
        <v>37.020000000000003</v>
      </c>
      <c r="G12" s="444">
        <v>3.15E-2</v>
      </c>
      <c r="H12" s="457">
        <f t="shared" si="0"/>
        <v>24.71</v>
      </c>
      <c r="K12" s="278" t="s">
        <v>118</v>
      </c>
      <c r="L12" s="279"/>
      <c r="M12" s="280"/>
      <c r="N12" s="281">
        <f t="shared" si="1"/>
        <v>1103.3</v>
      </c>
      <c r="O12" s="443">
        <v>4.7199999999999999E-2</v>
      </c>
      <c r="P12" s="456">
        <f t="shared" si="5"/>
        <v>52.08</v>
      </c>
      <c r="Q12" s="444">
        <v>3.15E-2</v>
      </c>
      <c r="R12" s="457">
        <f t="shared" si="2"/>
        <v>34.75</v>
      </c>
    </row>
    <row r="13" spans="1:18">
      <c r="A13" s="278" t="s">
        <v>119</v>
      </c>
      <c r="B13" s="279"/>
      <c r="C13" s="280"/>
      <c r="D13" s="281">
        <f t="shared" si="3"/>
        <v>784.4</v>
      </c>
      <c r="E13" s="443">
        <v>4.0500000000000001E-2</v>
      </c>
      <c r="F13" s="456">
        <f t="shared" si="4"/>
        <v>31.77</v>
      </c>
      <c r="G13" s="443"/>
      <c r="H13" s="457">
        <f t="shared" si="0"/>
        <v>0</v>
      </c>
      <c r="K13" s="278" t="s">
        <v>119</v>
      </c>
      <c r="L13" s="279"/>
      <c r="M13" s="280"/>
      <c r="N13" s="281">
        <f t="shared" si="1"/>
        <v>1103.3</v>
      </c>
      <c r="O13" s="443">
        <v>4.0500000000000001E-2</v>
      </c>
      <c r="P13" s="456">
        <f t="shared" si="5"/>
        <v>44.68</v>
      </c>
      <c r="Q13" s="443"/>
      <c r="R13" s="457"/>
    </row>
    <row r="14" spans="1:18" s="483" customFormat="1" ht="14.25">
      <c r="A14" s="287" t="s">
        <v>157</v>
      </c>
      <c r="B14" s="288"/>
      <c r="C14" s="479"/>
      <c r="D14" s="480">
        <f>C1</f>
        <v>4.4000000000000004</v>
      </c>
      <c r="E14" s="484"/>
      <c r="F14" s="482"/>
      <c r="G14" s="484">
        <v>0.11310000000000001</v>
      </c>
      <c r="H14" s="485">
        <f>-IF(I10&lt;I14,I1:I10,I14)</f>
        <v>-0.5</v>
      </c>
      <c r="I14" s="483">
        <f>ROUND(D14*G14,2)</f>
        <v>0.5</v>
      </c>
      <c r="K14" s="287"/>
      <c r="L14" s="288"/>
      <c r="M14" s="479"/>
      <c r="N14" s="480"/>
      <c r="O14" s="484"/>
      <c r="P14" s="482"/>
      <c r="Q14" s="484"/>
      <c r="R14" s="485"/>
    </row>
    <row r="15" spans="1:18">
      <c r="A15" s="278" t="s">
        <v>120</v>
      </c>
      <c r="B15" s="279"/>
      <c r="C15" s="280"/>
      <c r="D15" s="281">
        <f t="shared" si="3"/>
        <v>784.4</v>
      </c>
      <c r="E15" s="444">
        <v>1.29E-2</v>
      </c>
      <c r="F15" s="456">
        <f t="shared" si="4"/>
        <v>10.119999999999999</v>
      </c>
      <c r="G15" s="444">
        <v>8.6E-3</v>
      </c>
      <c r="H15" s="457">
        <f t="shared" si="0"/>
        <v>6.75</v>
      </c>
      <c r="K15" s="278" t="s">
        <v>120</v>
      </c>
      <c r="L15" s="279"/>
      <c r="M15" s="280"/>
      <c r="N15" s="281">
        <f t="shared" si="1"/>
        <v>1103.3</v>
      </c>
      <c r="O15" s="444">
        <v>1.29E-2</v>
      </c>
      <c r="P15" s="456">
        <f t="shared" si="5"/>
        <v>14.23</v>
      </c>
      <c r="Q15" s="444">
        <v>8.6E-3</v>
      </c>
      <c r="R15" s="457">
        <f t="shared" si="2"/>
        <v>9.49</v>
      </c>
    </row>
    <row r="16" spans="1:18">
      <c r="A16" s="278" t="s">
        <v>121</v>
      </c>
      <c r="B16" s="280"/>
      <c r="C16" s="280"/>
      <c r="D16" s="281">
        <f t="shared" si="3"/>
        <v>784.4</v>
      </c>
      <c r="E16" s="444">
        <v>5.2499999999999998E-2</v>
      </c>
      <c r="F16" s="456">
        <f t="shared" si="4"/>
        <v>41.18</v>
      </c>
      <c r="G16" s="444"/>
      <c r="H16" s="457">
        <f t="shared" si="0"/>
        <v>0</v>
      </c>
      <c r="K16" s="278" t="s">
        <v>121</v>
      </c>
      <c r="L16" s="280"/>
      <c r="M16" s="280"/>
      <c r="N16" s="281">
        <f t="shared" si="1"/>
        <v>1103.3</v>
      </c>
      <c r="O16" s="444">
        <v>5.2499999999999998E-2</v>
      </c>
      <c r="P16" s="456">
        <f t="shared" si="5"/>
        <v>57.92</v>
      </c>
      <c r="Q16" s="444"/>
      <c r="R16" s="457">
        <f t="shared" si="2"/>
        <v>0</v>
      </c>
    </row>
    <row r="17" spans="1:18">
      <c r="A17" s="278" t="s">
        <v>122</v>
      </c>
      <c r="B17" s="280"/>
      <c r="C17" s="280"/>
      <c r="D17" s="281">
        <f t="shared" si="3"/>
        <v>784.4</v>
      </c>
      <c r="E17" s="444">
        <v>0.01</v>
      </c>
      <c r="F17" s="456">
        <f t="shared" si="4"/>
        <v>7.84</v>
      </c>
      <c r="G17" s="444"/>
      <c r="H17" s="457">
        <f t="shared" si="0"/>
        <v>0</v>
      </c>
      <c r="K17" s="278" t="s">
        <v>122</v>
      </c>
      <c r="L17" s="280"/>
      <c r="M17" s="280"/>
      <c r="N17" s="281">
        <f t="shared" si="1"/>
        <v>1103.3</v>
      </c>
      <c r="O17" s="444">
        <v>0.01</v>
      </c>
      <c r="P17" s="456">
        <f t="shared" si="5"/>
        <v>11.03</v>
      </c>
      <c r="Q17" s="444"/>
      <c r="R17" s="457">
        <f t="shared" si="2"/>
        <v>0</v>
      </c>
    </row>
    <row r="18" spans="1:18">
      <c r="A18" s="278" t="s">
        <v>123</v>
      </c>
      <c r="B18" s="280"/>
      <c r="C18" s="280"/>
      <c r="D18" s="281">
        <f t="shared" si="3"/>
        <v>784.4</v>
      </c>
      <c r="E18" s="444">
        <v>1E-3</v>
      </c>
      <c r="F18" s="456">
        <f t="shared" si="4"/>
        <v>0.78</v>
      </c>
      <c r="G18" s="444"/>
      <c r="H18" s="457">
        <f t="shared" si="0"/>
        <v>0</v>
      </c>
      <c r="K18" s="278" t="s">
        <v>123</v>
      </c>
      <c r="L18" s="280"/>
      <c r="M18" s="280"/>
      <c r="N18" s="281">
        <f t="shared" si="1"/>
        <v>1103.3</v>
      </c>
      <c r="O18" s="444">
        <v>1E-3</v>
      </c>
      <c r="P18" s="456">
        <f t="shared" si="5"/>
        <v>1.1000000000000001</v>
      </c>
      <c r="Q18" s="444"/>
      <c r="R18" s="457">
        <f t="shared" si="2"/>
        <v>0</v>
      </c>
    </row>
    <row r="19" spans="1:18">
      <c r="A19" s="278" t="s">
        <v>124</v>
      </c>
      <c r="B19" s="279"/>
      <c r="C19" s="280"/>
      <c r="D19" s="281">
        <f t="shared" si="3"/>
        <v>784.4</v>
      </c>
      <c r="E19" s="443">
        <v>1.4200000000000001E-2</v>
      </c>
      <c r="F19" s="283">
        <f t="shared" si="4"/>
        <v>11.14</v>
      </c>
      <c r="G19" s="284">
        <v>1.15E-2</v>
      </c>
      <c r="H19" s="304">
        <f t="shared" si="0"/>
        <v>9.02</v>
      </c>
      <c r="K19" s="278" t="s">
        <v>124</v>
      </c>
      <c r="L19" s="279"/>
      <c r="M19" s="280"/>
      <c r="N19" s="281">
        <f t="shared" si="1"/>
        <v>1103.3</v>
      </c>
      <c r="O19" s="443">
        <v>1.4200000000000001E-2</v>
      </c>
      <c r="P19" s="456">
        <f t="shared" si="5"/>
        <v>15.67</v>
      </c>
      <c r="Q19" s="284">
        <v>1.15E-2</v>
      </c>
      <c r="R19" s="457">
        <f t="shared" si="2"/>
        <v>12.69</v>
      </c>
    </row>
    <row r="20" spans="1:18">
      <c r="A20" s="278" t="s">
        <v>125</v>
      </c>
      <c r="B20" s="280"/>
      <c r="C20" s="280"/>
      <c r="D20" s="281">
        <f t="shared" si="3"/>
        <v>784.4</v>
      </c>
      <c r="E20" s="284">
        <v>5.4999999999999997E-3</v>
      </c>
      <c r="F20" s="283">
        <f t="shared" si="4"/>
        <v>4.3099999999999996</v>
      </c>
      <c r="G20" s="284"/>
      <c r="H20" s="304"/>
      <c r="K20" s="278" t="s">
        <v>125</v>
      </c>
      <c r="L20" s="280"/>
      <c r="M20" s="280"/>
      <c r="N20" s="281">
        <f t="shared" si="1"/>
        <v>1103.3</v>
      </c>
      <c r="O20" s="284">
        <v>5.4999999999999997E-3</v>
      </c>
      <c r="P20" s="283">
        <f t="shared" si="5"/>
        <v>6.07</v>
      </c>
      <c r="Q20" s="284"/>
      <c r="R20" s="304"/>
    </row>
    <row r="21" spans="1:18">
      <c r="A21" s="278" t="s">
        <v>126</v>
      </c>
      <c r="B21" s="280"/>
      <c r="C21" s="280"/>
      <c r="D21" s="281">
        <f t="shared" si="3"/>
        <v>784.4</v>
      </c>
      <c r="E21" s="284">
        <v>1.6000000000000001E-4</v>
      </c>
      <c r="F21" s="283">
        <f t="shared" si="4"/>
        <v>0.13</v>
      </c>
      <c r="G21" s="284"/>
      <c r="H21" s="304"/>
      <c r="K21" s="278" t="s">
        <v>126</v>
      </c>
      <c r="L21" s="280"/>
      <c r="M21" s="280"/>
      <c r="N21" s="281">
        <f t="shared" si="1"/>
        <v>1103.3</v>
      </c>
      <c r="O21" s="284">
        <v>1.6000000000000001E-4</v>
      </c>
      <c r="P21" s="283">
        <f t="shared" si="5"/>
        <v>0.18</v>
      </c>
      <c r="Q21" s="284"/>
      <c r="R21" s="304"/>
    </row>
    <row r="22" spans="1:18">
      <c r="A22" s="278" t="s">
        <v>127</v>
      </c>
      <c r="B22" s="280"/>
      <c r="C22" s="280"/>
      <c r="D22" s="281">
        <f t="shared" si="3"/>
        <v>784.4</v>
      </c>
      <c r="E22" s="284">
        <v>3.0000000000000001E-3</v>
      </c>
      <c r="F22" s="283">
        <f t="shared" si="4"/>
        <v>2.35</v>
      </c>
      <c r="G22" s="282"/>
      <c r="H22" s="304"/>
      <c r="K22" s="278" t="s">
        <v>127</v>
      </c>
      <c r="L22" s="280"/>
      <c r="M22" s="280"/>
      <c r="N22" s="281">
        <f t="shared" si="1"/>
        <v>1103.3</v>
      </c>
      <c r="O22" s="284">
        <v>3.0000000000000001E-3</v>
      </c>
      <c r="P22" s="283">
        <f t="shared" si="5"/>
        <v>3.31</v>
      </c>
      <c r="Q22" s="282"/>
      <c r="R22" s="304"/>
    </row>
    <row r="23" spans="1:18" ht="15.75" thickBot="1">
      <c r="A23" s="291" t="s">
        <v>128</v>
      </c>
      <c r="B23" s="292"/>
      <c r="C23" s="293"/>
      <c r="D23" s="294">
        <f t="shared" si="3"/>
        <v>784.4</v>
      </c>
      <c r="E23" s="295"/>
      <c r="F23" s="296">
        <f>(SUM(F9:F22))</f>
        <v>330.58</v>
      </c>
      <c r="G23" s="295"/>
      <c r="H23" s="306">
        <f>SUM(H6:H19)</f>
        <v>172</v>
      </c>
      <c r="K23" s="291" t="s">
        <v>128</v>
      </c>
      <c r="L23" s="292"/>
      <c r="M23" s="293"/>
      <c r="N23" s="294">
        <f t="shared" si="1"/>
        <v>1103.3</v>
      </c>
      <c r="O23" s="295"/>
      <c r="P23" s="296">
        <f>(SUM(P9:P22))</f>
        <v>464.99</v>
      </c>
      <c r="Q23" s="295"/>
      <c r="R23" s="306">
        <f>SUM(R6:R19)</f>
        <v>242.62</v>
      </c>
    </row>
    <row r="25" spans="1:18">
      <c r="A25" s="445" t="s">
        <v>135</v>
      </c>
      <c r="E25" s="446">
        <f>SUM(E9:E11,E16:E18)</f>
        <v>0.29799999999999999</v>
      </c>
      <c r="G25" s="447">
        <f>SUM(G9:G11)</f>
        <v>7.2999999999999995E-2</v>
      </c>
      <c r="K25" s="445" t="s">
        <v>135</v>
      </c>
      <c r="O25" s="446">
        <f>SUM(O9:O11,O16:O18)</f>
        <v>0.29799999999999999</v>
      </c>
      <c r="Q25" s="447">
        <f>SUM(Q9:Q11)</f>
        <v>7.2999999999999995E-2</v>
      </c>
    </row>
    <row r="26" spans="1:18">
      <c r="A26" s="445" t="s">
        <v>136</v>
      </c>
      <c r="E26" s="446">
        <f>SUM(E12:E15,E19:E22)</f>
        <v>0.12346</v>
      </c>
      <c r="G26" s="447">
        <f>SUM(G12:G19)</f>
        <v>0.16470000000000001</v>
      </c>
      <c r="K26" s="445" t="s">
        <v>136</v>
      </c>
      <c r="O26" s="446">
        <f>SUM(O12:O15,O19:O22)</f>
        <v>0.12346</v>
      </c>
      <c r="Q26" s="447">
        <f>SUM(Q12:Q19)</f>
        <v>5.16E-2</v>
      </c>
    </row>
    <row r="27" spans="1:18" ht="15.75" thickBot="1">
      <c r="G27" s="446">
        <f>SUM(G25:G26)</f>
        <v>0.23769999999999999</v>
      </c>
      <c r="Q27" s="446">
        <f>SUM(Q25:Q26)</f>
        <v>0.1246</v>
      </c>
    </row>
    <row r="28" spans="1:18" ht="15.75" thickBot="1">
      <c r="D28" s="448" t="s">
        <v>137</v>
      </c>
      <c r="E28" s="449">
        <f>E25+E26</f>
        <v>0.42149999999999999</v>
      </c>
      <c r="G28" s="450">
        <f>SUM(G6:G8)*98.25%+G27</f>
        <v>0.33300000000000002</v>
      </c>
      <c r="N28" s="448" t="s">
        <v>137</v>
      </c>
      <c r="O28" s="449">
        <f>O25+O26</f>
        <v>0.42149999999999999</v>
      </c>
      <c r="Q28" s="450">
        <f>SUM(Q6:Q8)*98.25%+Q27</f>
        <v>0.21990000000000001</v>
      </c>
    </row>
  </sheetData>
  <sheetProtection password="E32B" sheet="1" objects="1" scenarios="1"/>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Feuilles de calcul</vt:lpstr>
      </vt:variant>
      <vt:variant>
        <vt:i4>6</vt:i4>
      </vt:variant>
    </vt:vector>
  </HeadingPairs>
  <TitlesOfParts>
    <vt:vector size="6" baseType="lpstr">
      <vt:lpstr>Feuil2</vt:lpstr>
      <vt:lpstr>1</vt:lpstr>
      <vt:lpstr>Simulateur</vt:lpstr>
      <vt:lpstr>Feuil3</vt:lpstr>
      <vt:lpstr> BS GED</vt:lpstr>
      <vt:lpstr>BS AM</vt:lpstr>
    </vt:vector>
  </TitlesOfParts>
  <Company>UP</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UP</dc:creator>
  <cp:lastModifiedBy>mdeaguiar</cp:lastModifiedBy>
  <cp:lastPrinted>2015-02-11T10:35:25Z</cp:lastPrinted>
  <dcterms:created xsi:type="dcterms:W3CDTF">2005-02-10T13:00:10Z</dcterms:created>
  <dcterms:modified xsi:type="dcterms:W3CDTF">2019-08-27T08:46:21Z</dcterms:modified>
</cp:coreProperties>
</file>